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4-09 PMT\"/>
    </mc:Choice>
  </mc:AlternateContent>
  <xr:revisionPtr revIDLastSave="0" documentId="13_ncr:1_{ED574342-90F2-4DD6-B3B9-65A01EC8F2F3}" xr6:coauthVersionLast="47" xr6:coauthVersionMax="47" xr10:uidLastSave="{00000000-0000-0000-0000-000000000000}"/>
  <bookViews>
    <workbookView xWindow="28680" yWindow="-120" windowWidth="29040" windowHeight="15840" xr2:uid="{1E408915-A713-47F4-867F-587370230E24}"/>
  </bookViews>
  <sheets>
    <sheet name="Net Payment" sheetId="64" r:id="rId1"/>
    <sheet name="Charter Schools" sheetId="65" r:id="rId2"/>
    <sheet name="Consolidated" sheetId="60" r:id="rId3"/>
    <sheet name="Cumulative Payments" sheetId="79" state="hidden" r:id="rId4"/>
    <sheet name="1461" sheetId="7"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Payment'!$A$4:$G$441</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'1461'!$A$6:$I$145</definedName>
    <definedName name="_xlnm.Print_Area" localSheetId="2">Consolidated!$A$2:$I$144</definedName>
    <definedName name="_xlnm.Print_Area" localSheetId="0">'Net Payment'!$A$5:$G$505</definedName>
    <definedName name="_xlnm.Print_Area" localSheetId="51">Virtual!$B$2:$G$38</definedName>
    <definedName name="_xlnm.Print_Titles" localSheetId="4">'1461'!$2:$5</definedName>
    <definedName name="_xlnm.Print_Titles" localSheetId="0">'Net Payment'!$1:$4</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64" l="1"/>
  <c r="D53" i="79" l="1"/>
  <c r="G8" i="79" l="1"/>
  <c r="I19" i="17" l="1"/>
  <c r="R6" i="79" l="1"/>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 i="79"/>
  <c r="Q5" i="79"/>
  <c r="Q68" i="79"/>
  <c r="Q51" i="79" l="1"/>
  <c r="D116" i="79" l="1"/>
  <c r="F53" i="79"/>
  <c r="R68" i="79" l="1"/>
  <c r="F21" i="71" l="1"/>
  <c r="C26" i="37"/>
  <c r="D26" i="37"/>
  <c r="D112" i="60" l="1"/>
  <c r="D111" i="60"/>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16" i="79"/>
  <c r="O116" i="79"/>
  <c r="N116" i="79"/>
  <c r="M116" i="79"/>
  <c r="L116" i="79"/>
  <c r="I116" i="79"/>
  <c r="H116" i="79"/>
  <c r="G116" i="79"/>
  <c r="F116" i="79"/>
  <c r="E116" i="79"/>
  <c r="R114" i="79"/>
  <c r="R113" i="79"/>
  <c r="Q113" i="79"/>
  <c r="I139" i="78" s="1"/>
  <c r="R112" i="79"/>
  <c r="R111" i="79"/>
  <c r="R110" i="79"/>
  <c r="R109" i="79"/>
  <c r="Q109" i="79"/>
  <c r="I139" i="70" s="1"/>
  <c r="R108" i="79"/>
  <c r="Q108" i="79"/>
  <c r="I139" i="69" s="1"/>
  <c r="R107" i="79"/>
  <c r="Q107" i="79"/>
  <c r="I139" i="67" s="1"/>
  <c r="R106" i="79"/>
  <c r="Q106" i="79"/>
  <c r="I139" i="66" s="1"/>
  <c r="R105" i="79"/>
  <c r="Q105" i="79"/>
  <c r="I139" i="58" s="1"/>
  <c r="R104" i="79"/>
  <c r="Q104" i="79"/>
  <c r="I139" i="57" s="1"/>
  <c r="R103" i="79"/>
  <c r="Q103" i="79"/>
  <c r="I139" i="56" s="1"/>
  <c r="R102" i="79"/>
  <c r="Q102" i="79"/>
  <c r="I139" i="55" s="1"/>
  <c r="R101" i="79"/>
  <c r="Q101" i="79"/>
  <c r="I139" i="76" s="1"/>
  <c r="R100" i="79"/>
  <c r="Q100" i="79"/>
  <c r="I139" i="75" s="1"/>
  <c r="R99" i="79"/>
  <c r="Q99" i="79"/>
  <c r="I139" i="52" s="1"/>
  <c r="R98" i="79"/>
  <c r="Q98" i="79"/>
  <c r="I139" i="51" s="1"/>
  <c r="R97" i="79"/>
  <c r="Q97" i="79"/>
  <c r="I139" i="50" s="1"/>
  <c r="R96" i="79"/>
  <c r="Q96" i="79"/>
  <c r="I139" i="48" s="1"/>
  <c r="R95" i="79"/>
  <c r="Q95" i="79"/>
  <c r="I139" i="47" s="1"/>
  <c r="R94" i="79"/>
  <c r="Q94" i="79"/>
  <c r="I139" i="45" s="1"/>
  <c r="R93" i="79"/>
  <c r="Q93" i="79"/>
  <c r="I139" i="44" s="1"/>
  <c r="R92" i="79"/>
  <c r="Q92" i="79"/>
  <c r="I139" i="43" s="1"/>
  <c r="R91" i="79"/>
  <c r="Q91" i="79"/>
  <c r="I139" i="42" s="1"/>
  <c r="R90" i="79"/>
  <c r="Q90" i="79"/>
  <c r="I139" i="40" s="1"/>
  <c r="R89" i="79"/>
  <c r="Q89" i="79"/>
  <c r="I139" i="39" s="1"/>
  <c r="R88" i="79"/>
  <c r="Q88" i="79"/>
  <c r="I139" i="38" s="1"/>
  <c r="R87" i="79"/>
  <c r="Q87" i="79"/>
  <c r="I139" i="37" s="1"/>
  <c r="R86" i="79"/>
  <c r="Q86" i="79"/>
  <c r="I139" i="36" s="1"/>
  <c r="R85" i="79"/>
  <c r="Q85" i="79"/>
  <c r="I139" i="23" s="1"/>
  <c r="R84" i="79"/>
  <c r="Q84" i="79"/>
  <c r="I139" i="35" s="1"/>
  <c r="R83" i="79"/>
  <c r="Q83" i="79"/>
  <c r="I139" i="34" s="1"/>
  <c r="R82" i="79"/>
  <c r="Q82" i="79"/>
  <c r="I139" i="33" s="1"/>
  <c r="R81" i="79"/>
  <c r="Q81" i="79"/>
  <c r="I139" i="32" s="1"/>
  <c r="R80" i="79"/>
  <c r="Q80" i="79"/>
  <c r="I139" i="31" s="1"/>
  <c r="R79" i="79"/>
  <c r="Q79" i="79"/>
  <c r="I139" i="28" s="1"/>
  <c r="R78" i="79"/>
  <c r="Q78" i="79"/>
  <c r="I139" i="27" s="1"/>
  <c r="R77" i="79"/>
  <c r="Q77" i="79"/>
  <c r="I139" i="26" s="1"/>
  <c r="R76" i="79"/>
  <c r="Q76" i="79"/>
  <c r="I139" i="22" s="1"/>
  <c r="R75" i="79"/>
  <c r="Q75" i="79"/>
  <c r="I139" i="24" s="1"/>
  <c r="R74" i="79"/>
  <c r="Q74" i="79"/>
  <c r="I139" i="25" s="1"/>
  <c r="R73" i="79"/>
  <c r="Q73" i="79"/>
  <c r="I139" i="21" s="1"/>
  <c r="R72" i="79"/>
  <c r="Q72" i="79"/>
  <c r="I139" i="20" s="1"/>
  <c r="R71" i="79"/>
  <c r="Q71" i="79"/>
  <c r="I139" i="18" s="1"/>
  <c r="J116" i="79"/>
  <c r="R69" i="79"/>
  <c r="Q69" i="79"/>
  <c r="I139" i="16" l="1"/>
  <c r="Q114" i="79"/>
  <c r="I139" i="30" s="1"/>
  <c r="Q110" i="79"/>
  <c r="I139" i="71" s="1"/>
  <c r="K116" i="79"/>
  <c r="Q70" i="79"/>
  <c r="Q116" i="79" s="1"/>
  <c r="R70" i="79"/>
  <c r="R116" i="79" s="1"/>
  <c r="Q112" i="79"/>
  <c r="I139" i="77" s="1"/>
  <c r="I139" i="17" l="1"/>
  <c r="M53" i="79" l="1"/>
  <c r="E62" i="50"/>
  <c r="E61" i="50"/>
  <c r="E60" i="50"/>
  <c r="E53" i="79" l="1"/>
  <c r="E118" i="79" l="1"/>
  <c r="G53" i="79"/>
  <c r="J58" i="79" s="1"/>
  <c r="H53" i="79"/>
  <c r="I53" i="79"/>
  <c r="L53" i="79"/>
  <c r="O53" i="79"/>
  <c r="P53" i="79"/>
  <c r="K53" i="79" l="1"/>
  <c r="R53" i="79"/>
  <c r="J53" i="79"/>
  <c r="C112" i="60"/>
  <c r="C111" i="60"/>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F452" i="64" l="1"/>
  <c r="C30" i="68"/>
  <c r="D442" i="64" l="1"/>
  <c r="D433" i="64"/>
  <c r="D423" i="64"/>
  <c r="D415" i="64"/>
  <c r="D406" i="64"/>
  <c r="D396" i="64"/>
  <c r="D386" i="64"/>
  <c r="D377" i="64"/>
  <c r="D370" i="64"/>
  <c r="D361" i="64"/>
  <c r="D352" i="64"/>
  <c r="D345" i="64"/>
  <c r="D334" i="64"/>
  <c r="D324" i="64"/>
  <c r="D314" i="64"/>
  <c r="D305" i="64"/>
  <c r="D296" i="64"/>
  <c r="D288" i="64"/>
  <c r="D278" i="64"/>
  <c r="D269" i="64"/>
  <c r="D261" i="64"/>
  <c r="D253" i="64"/>
  <c r="D243" i="64"/>
  <c r="D233" i="64"/>
  <c r="D224" i="64"/>
  <c r="D214" i="64"/>
  <c r="D203" i="64"/>
  <c r="D195" i="64"/>
  <c r="D184" i="64"/>
  <c r="D176" i="64"/>
  <c r="D169" i="64"/>
  <c r="D161" i="64"/>
  <c r="D152" i="64"/>
  <c r="D142" i="64"/>
  <c r="D133" i="64"/>
  <c r="D124" i="64"/>
  <c r="D115" i="64"/>
  <c r="D108" i="64"/>
  <c r="D100" i="64"/>
  <c r="D91" i="64"/>
  <c r="D80" i="64"/>
  <c r="D70" i="64"/>
  <c r="D62" i="64"/>
  <c r="D50" i="64"/>
  <c r="D43" i="64"/>
  <c r="D27" i="64" l="1"/>
  <c r="F480" i="64" s="1"/>
  <c r="G480" i="64" l="1"/>
  <c r="F479" i="64"/>
  <c r="F470" i="64"/>
  <c r="F460" i="64"/>
  <c r="F472" i="64"/>
  <c r="U126" i="31"/>
  <c r="U126"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E65" i="18"/>
  <c r="I65" i="18" s="1"/>
  <c r="E64" i="18"/>
  <c r="E63" i="18"/>
  <c r="E62" i="18"/>
  <c r="E61" i="18"/>
  <c r="E60" i="18"/>
  <c r="E58" i="18"/>
  <c r="E57" i="18"/>
  <c r="D66" i="20"/>
  <c r="C66" i="20"/>
  <c r="E65" i="20"/>
  <c r="I65" i="20" s="1"/>
  <c r="E64" i="20"/>
  <c r="E63" i="20"/>
  <c r="E62" i="20"/>
  <c r="E61" i="20"/>
  <c r="I61" i="20" s="1"/>
  <c r="E60" i="20"/>
  <c r="E59"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C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E65" i="7" s="1"/>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9" i="16" l="1"/>
  <c r="E65" i="16"/>
  <c r="E64" i="16"/>
  <c r="I57" i="20"/>
  <c r="I64" i="18"/>
  <c r="E58" i="43"/>
  <c r="E57" i="43"/>
  <c r="E65" i="43"/>
  <c r="I65" i="43" s="1"/>
  <c r="E60" i="43"/>
  <c r="E64" i="43"/>
  <c r="I64" i="43" s="1"/>
  <c r="E63" i="43"/>
  <c r="I63" i="43" s="1"/>
  <c r="E62" i="43"/>
  <c r="I62" i="43" s="1"/>
  <c r="E61" i="43"/>
  <c r="I61" i="43" s="1"/>
  <c r="E59" i="43"/>
  <c r="I59" i="43" s="1"/>
  <c r="E64" i="7"/>
  <c r="I64" i="7" s="1"/>
  <c r="E63" i="7"/>
  <c r="E62" i="23"/>
  <c r="E59" i="23"/>
  <c r="I59" i="23" s="1"/>
  <c r="E61" i="23"/>
  <c r="I61" i="23" s="1"/>
  <c r="E60" i="23"/>
  <c r="E58" i="23"/>
  <c r="E57" i="23"/>
  <c r="I57" i="23" s="1"/>
  <c r="E64" i="23"/>
  <c r="I64" i="23" s="1"/>
  <c r="E65" i="23"/>
  <c r="I65" i="23" s="1"/>
  <c r="E63" i="23"/>
  <c r="I63" i="23" s="1"/>
  <c r="E62" i="28"/>
  <c r="I62" i="28" s="1"/>
  <c r="E59" i="28"/>
  <c r="I59" i="28" s="1"/>
  <c r="E61" i="28"/>
  <c r="I61" i="28" s="1"/>
  <c r="E60" i="28"/>
  <c r="I60" i="28" s="1"/>
  <c r="E58" i="28"/>
  <c r="I58" i="28" s="1"/>
  <c r="E57" i="28"/>
  <c r="E64" i="28"/>
  <c r="E65" i="28"/>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E59" i="70"/>
  <c r="I59" i="70" s="1"/>
  <c r="E58" i="70"/>
  <c r="I58" i="70" s="1"/>
  <c r="E57" i="70"/>
  <c r="I57" i="70" s="1"/>
  <c r="E58" i="57"/>
  <c r="I58" i="57" s="1"/>
  <c r="E57" i="57"/>
  <c r="E60" i="57"/>
  <c r="I60" i="57" s="1"/>
  <c r="E65" i="57"/>
  <c r="I65" i="57" s="1"/>
  <c r="E64" i="57"/>
  <c r="I64" i="57" s="1"/>
  <c r="E63" i="57"/>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E57" i="21"/>
  <c r="I57" i="21" s="1"/>
  <c r="E61" i="21"/>
  <c r="I61" i="21" s="1"/>
  <c r="E60" i="21"/>
  <c r="I60" i="21" s="1"/>
  <c r="E62" i="76"/>
  <c r="I62" i="76" s="1"/>
  <c r="E61" i="76"/>
  <c r="I61" i="76" s="1"/>
  <c r="E60" i="76"/>
  <c r="I60" i="76" s="1"/>
  <c r="E58" i="76"/>
  <c r="I58" i="76" s="1"/>
  <c r="E57" i="76"/>
  <c r="I57" i="76" s="1"/>
  <c r="E64" i="76"/>
  <c r="I64" i="76" s="1"/>
  <c r="E65" i="76"/>
  <c r="E63" i="76"/>
  <c r="I63" i="76" s="1"/>
  <c r="E59" i="76"/>
  <c r="E62" i="45"/>
  <c r="E61" i="45"/>
  <c r="I61" i="45" s="1"/>
  <c r="E60" i="45"/>
  <c r="I60" i="45" s="1"/>
  <c r="E58" i="45"/>
  <c r="I58" i="45" s="1"/>
  <c r="E57" i="45"/>
  <c r="E64" i="45"/>
  <c r="I64" i="45" s="1"/>
  <c r="E65" i="45"/>
  <c r="I65" i="45" s="1"/>
  <c r="E63" i="45"/>
  <c r="I63" i="45" s="1"/>
  <c r="E59" i="45"/>
  <c r="I59" i="45" s="1"/>
  <c r="E65" i="42"/>
  <c r="I65" i="42" s="1"/>
  <c r="E64" i="42"/>
  <c r="E63" i="42"/>
  <c r="E62" i="42"/>
  <c r="E61" i="42"/>
  <c r="E60" i="42"/>
  <c r="I60" i="42" s="1"/>
  <c r="E58" i="42"/>
  <c r="I58" i="42" s="1"/>
  <c r="E59" i="42"/>
  <c r="I59" i="42" s="1"/>
  <c r="E57" i="42"/>
  <c r="I57" i="42" s="1"/>
  <c r="E61" i="66"/>
  <c r="I61" i="66" s="1"/>
  <c r="E60" i="66"/>
  <c r="I60" i="66" s="1"/>
  <c r="E59" i="66"/>
  <c r="I59" i="66" s="1"/>
  <c r="E57" i="66"/>
  <c r="E65" i="66"/>
  <c r="I65" i="66" s="1"/>
  <c r="E64" i="66"/>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E62" i="48"/>
  <c r="I62" i="48" s="1"/>
  <c r="E58" i="48"/>
  <c r="I58" i="48" s="1"/>
  <c r="E61" i="48"/>
  <c r="I61" i="48" s="1"/>
  <c r="E60" i="48"/>
  <c r="I60" i="48" s="1"/>
  <c r="E59" i="48"/>
  <c r="I59" i="48" s="1"/>
  <c r="E61" i="27"/>
  <c r="I61" i="27" s="1"/>
  <c r="E60" i="27"/>
  <c r="I60" i="27" s="1"/>
  <c r="E59" i="27"/>
  <c r="E58" i="27"/>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E61" i="68"/>
  <c r="I61" i="68" s="1"/>
  <c r="E65" i="69"/>
  <c r="I65" i="69" s="1"/>
  <c r="E64" i="69"/>
  <c r="I64" i="69" s="1"/>
  <c r="E62" i="69"/>
  <c r="I62" i="69" s="1"/>
  <c r="E63" i="69"/>
  <c r="I63" i="69" s="1"/>
  <c r="E61" i="69"/>
  <c r="I61" i="69" s="1"/>
  <c r="E60" i="69"/>
  <c r="I60" i="69" s="1"/>
  <c r="E59" i="69"/>
  <c r="I59" i="69" s="1"/>
  <c r="E58" i="69"/>
  <c r="E57" i="69"/>
  <c r="I57" i="69" s="1"/>
  <c r="E64" i="56"/>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E65" i="75"/>
  <c r="I65" i="75" s="1"/>
  <c r="E64" i="75"/>
  <c r="I64" i="75" s="1"/>
  <c r="E63" i="75"/>
  <c r="I63" i="75" s="1"/>
  <c r="E61" i="75"/>
  <c r="I61" i="75" s="1"/>
  <c r="E65" i="40"/>
  <c r="I65" i="40" s="1"/>
  <c r="E64" i="40"/>
  <c r="I64" i="40" s="1"/>
  <c r="E63" i="40"/>
  <c r="I63" i="40" s="1"/>
  <c r="E62" i="40"/>
  <c r="I62" i="40" s="1"/>
  <c r="E61" i="40"/>
  <c r="E60" i="40"/>
  <c r="I60" i="40" s="1"/>
  <c r="E59" i="40"/>
  <c r="E58" i="40"/>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E60" i="36"/>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E65" i="44"/>
  <c r="I65" i="44" s="1"/>
  <c r="E64" i="44"/>
  <c r="I64" i="44" s="1"/>
  <c r="E63" i="44"/>
  <c r="I63" i="44" s="1"/>
  <c r="E62" i="44"/>
  <c r="I62" i="44" s="1"/>
  <c r="E61" i="44"/>
  <c r="I61" i="44" s="1"/>
  <c r="E58" i="52"/>
  <c r="I58" i="52" s="1"/>
  <c r="E57" i="52"/>
  <c r="E65" i="52"/>
  <c r="I65" i="52" s="1"/>
  <c r="E64" i="52"/>
  <c r="I64" i="52" s="1"/>
  <c r="E63" i="52"/>
  <c r="E62" i="52"/>
  <c r="I62" i="52" s="1"/>
  <c r="E60" i="52"/>
  <c r="E61" i="52"/>
  <c r="I61" i="52" s="1"/>
  <c r="E59" i="52"/>
  <c r="I59" i="52" s="1"/>
  <c r="E65" i="47"/>
  <c r="I65" i="47" s="1"/>
  <c r="E62" i="47"/>
  <c r="I62" i="47" s="1"/>
  <c r="E64" i="47"/>
  <c r="I64" i="47" s="1"/>
  <c r="E63" i="47"/>
  <c r="I63" i="47" s="1"/>
  <c r="E61" i="47"/>
  <c r="I61" i="47" s="1"/>
  <c r="E60" i="47"/>
  <c r="I60" i="47" s="1"/>
  <c r="E59" i="47"/>
  <c r="E58" i="47"/>
  <c r="E57" i="47"/>
  <c r="I57" i="47" s="1"/>
  <c r="E65" i="39"/>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E62" i="3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2" i="36"/>
  <c r="I63" i="68"/>
  <c r="I63" i="24"/>
  <c r="I57" i="45"/>
  <c r="I58" i="44"/>
  <c r="I58" i="16"/>
  <c r="I62" i="31"/>
  <c r="I58" i="20"/>
  <c r="I60" i="7"/>
  <c r="U57" i="38"/>
  <c r="U66" i="38" s="1"/>
  <c r="U57" i="22"/>
  <c r="U66" i="22" s="1"/>
  <c r="I62" i="7"/>
  <c r="I58" i="23"/>
  <c r="I65" i="7"/>
  <c r="I61" i="7"/>
  <c r="I63" i="18"/>
  <c r="I57" i="7"/>
  <c r="I58" i="7"/>
  <c r="U57" i="27"/>
  <c r="U66" i="27" s="1"/>
  <c r="I59" i="7"/>
  <c r="I65" i="70"/>
  <c r="I65" i="50"/>
  <c r="U66" i="37"/>
  <c r="U66" i="24"/>
  <c r="I57" i="71"/>
  <c r="I64" i="56"/>
  <c r="I57" i="51"/>
  <c r="I64" i="42"/>
  <c r="I64" i="27"/>
  <c r="I64" i="28"/>
  <c r="I58" i="21"/>
  <c r="I60" i="18"/>
  <c r="I64" i="66"/>
  <c r="I65" i="16"/>
  <c r="I64" i="70"/>
  <c r="I64" i="21"/>
  <c r="I57" i="50"/>
  <c r="I59" i="47"/>
  <c r="I63" i="42"/>
  <c r="I59" i="18"/>
  <c r="U66" i="35"/>
  <c r="U66" i="20"/>
  <c r="I63" i="66"/>
  <c r="I63" i="17"/>
  <c r="U66" i="32"/>
  <c r="U66" i="16"/>
  <c r="I59" i="76"/>
  <c r="I63" i="50"/>
  <c r="I60" i="22"/>
  <c r="I63" i="21"/>
  <c r="I64" i="20"/>
  <c r="I61" i="26"/>
  <c r="I65" i="21"/>
  <c r="I58" i="47"/>
  <c r="I58" i="18"/>
  <c r="U66" i="71"/>
  <c r="U66" i="51"/>
  <c r="U66" i="36"/>
  <c r="U66" i="25"/>
  <c r="U66" i="23"/>
  <c r="U66" i="21"/>
  <c r="I58" i="51"/>
  <c r="U66" i="47"/>
  <c r="U66" i="34"/>
  <c r="U66" i="18"/>
  <c r="I57" i="22"/>
  <c r="U66" i="33"/>
  <c r="U66" i="17"/>
  <c r="I62" i="21"/>
  <c r="U66" i="57"/>
  <c r="U66" i="43"/>
  <c r="U66" i="31"/>
  <c r="U66" i="28"/>
  <c r="I62" i="75"/>
  <c r="I58" i="43"/>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5" i="39"/>
  <c r="I61" i="35"/>
  <c r="I59" i="20"/>
  <c r="I59" i="40"/>
  <c r="I64" i="50"/>
  <c r="I58" i="50"/>
  <c r="I63" i="57"/>
  <c r="I63" i="31"/>
  <c r="I59" i="27"/>
  <c r="I62" i="24"/>
  <c r="I61" i="17"/>
  <c r="I62" i="16"/>
  <c r="I58" i="69"/>
  <c r="I63" i="48"/>
  <c r="I62" i="45"/>
  <c r="I61" i="42"/>
  <c r="I58" i="37"/>
  <c r="I65" i="28"/>
  <c r="I64" i="24"/>
  <c r="I62" i="20"/>
  <c r="I61" i="18"/>
  <c r="I60" i="70"/>
  <c r="I62" i="42"/>
  <c r="I65" i="24"/>
  <c r="I63" i="20"/>
  <c r="I62" i="18"/>
  <c r="I62" i="17"/>
  <c r="I58" i="75"/>
  <c r="I61" i="36"/>
  <c r="I60" i="23"/>
  <c r="I58" i="27"/>
  <c r="I62" i="57"/>
  <c r="I60" i="52"/>
  <c r="I63" i="37"/>
  <c r="I62" i="23"/>
  <c r="I61" i="31"/>
  <c r="I59" i="22"/>
  <c r="I59" i="24"/>
  <c r="I63" i="52"/>
  <c r="I62" i="50"/>
  <c r="I58" i="40"/>
  <c r="I60" i="20"/>
  <c r="I60" i="17"/>
  <c r="I60" i="16"/>
  <c r="I57" i="18"/>
  <c r="I57" i="16"/>
  <c r="I57" i="17"/>
  <c r="I57" i="27"/>
  <c r="E66" i="24"/>
  <c r="I57" i="28"/>
  <c r="I61" i="16"/>
  <c r="E66" i="18"/>
  <c r="E66" i="20"/>
  <c r="E66" i="50"/>
  <c r="I60" i="51"/>
  <c r="I60" i="43"/>
  <c r="I60" i="36"/>
  <c r="E66" i="16" l="1"/>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4" i="60"/>
  <c r="E66" i="22"/>
  <c r="I58" i="22"/>
  <c r="I66" i="22" s="1"/>
  <c r="E60" i="60"/>
  <c r="E66" i="25"/>
  <c r="E66" i="23"/>
  <c r="E66" i="28"/>
  <c r="E66" i="77"/>
  <c r="E66" i="68"/>
  <c r="E66" i="70"/>
  <c r="E66" i="69"/>
  <c r="E66" i="66"/>
  <c r="I57" i="66"/>
  <c r="I66" i="66" s="1"/>
  <c r="E66" i="57"/>
  <c r="I57" i="57"/>
  <c r="I66" i="57" s="1"/>
  <c r="E66" i="76"/>
  <c r="E66" i="75"/>
  <c r="E59" i="60"/>
  <c r="I57" i="52"/>
  <c r="I66" i="52" s="1"/>
  <c r="E66" i="48"/>
  <c r="E66" i="47"/>
  <c r="E66" i="44"/>
  <c r="E66" i="43"/>
  <c r="I61" i="40"/>
  <c r="I66" i="40" s="1"/>
  <c r="I57" i="39"/>
  <c r="I66" i="39" s="1"/>
  <c r="I57" i="37"/>
  <c r="I66" i="37" s="1"/>
  <c r="E66" i="36"/>
  <c r="E66" i="32"/>
  <c r="E66" i="26"/>
  <c r="I58" i="25"/>
  <c r="I66" i="25" s="1"/>
  <c r="E66" i="21"/>
  <c r="E61" i="60"/>
  <c r="E66" i="60"/>
  <c r="I63" i="7"/>
  <c r="I66" i="7" s="1"/>
  <c r="E63" i="60"/>
  <c r="E65" i="60"/>
  <c r="E66" i="38"/>
  <c r="E62" i="60"/>
  <c r="E66" i="17"/>
  <c r="E67" i="60"/>
  <c r="I64" i="60"/>
  <c r="I62" i="60"/>
  <c r="I66" i="60"/>
  <c r="I67" i="60"/>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5" i="60"/>
  <c r="I60"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1" i="60" s="1"/>
  <c r="E113" i="44"/>
  <c r="E113" i="68"/>
  <c r="E113" i="30"/>
  <c r="E112"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1" i="64" s="1"/>
  <c r="A100" i="64" s="1"/>
  <c r="A108" i="64" s="1"/>
  <c r="A115" i="64" s="1"/>
  <c r="A124" i="64" s="1"/>
  <c r="A133" i="64" s="1"/>
  <c r="A142" i="64" s="1"/>
  <c r="A152" i="64" s="1"/>
  <c r="A161" i="64" s="1"/>
  <c r="A169" i="64" s="1"/>
  <c r="A176" i="64" s="1"/>
  <c r="A184" i="64" s="1"/>
  <c r="A195" i="64" s="1"/>
  <c r="A203" i="64" s="1"/>
  <c r="A214" i="64" s="1"/>
  <c r="A224" i="64" s="1"/>
  <c r="A233" i="64" s="1"/>
  <c r="A243" i="64" s="1"/>
  <c r="A253" i="64" s="1"/>
  <c r="A261" i="64" s="1"/>
  <c r="A269" i="64" s="1"/>
  <c r="A278" i="64" s="1"/>
  <c r="A288" i="64" s="1"/>
  <c r="A296" i="64" s="1"/>
  <c r="A305" i="64" s="1"/>
  <c r="A314" i="64" s="1"/>
  <c r="A324" i="64" s="1"/>
  <c r="A334" i="64" s="1"/>
  <c r="A345" i="64" s="1"/>
  <c r="A352" i="64" s="1"/>
  <c r="A361" i="64" s="1"/>
  <c r="A370" i="64" s="1"/>
  <c r="A377" i="64" s="1"/>
  <c r="A386" i="64" s="1"/>
  <c r="A396" i="64" s="1"/>
  <c r="A406" i="64" s="1"/>
  <c r="A415" i="64" s="1"/>
  <c r="A423" i="64" s="1"/>
  <c r="A433" i="64" s="1"/>
  <c r="A442" i="64" s="1"/>
  <c r="L32" i="64"/>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H18" i="43"/>
  <c r="I18" i="43" s="1"/>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4" i="64"/>
  <c r="F466" i="64"/>
  <c r="G466" i="64"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H26" i="7" s="1"/>
  <c r="E106" i="17"/>
  <c r="E106" i="21"/>
  <c r="E106" i="52"/>
  <c r="E106" i="77"/>
  <c r="E23" i="7"/>
  <c r="H23" i="7" s="1"/>
  <c r="E20" i="7"/>
  <c r="H20" i="7" s="1"/>
  <c r="E106" i="45"/>
  <c r="E105" i="52"/>
  <c r="E104" i="17"/>
  <c r="T8" i="50"/>
  <c r="E106" i="22"/>
  <c r="E106" i="27"/>
  <c r="E104" i="43"/>
  <c r="E105" i="45"/>
  <c r="E104" i="26"/>
  <c r="E106" i="50"/>
  <c r="E105" i="58"/>
  <c r="E104" i="30"/>
  <c r="E105" i="27"/>
  <c r="E104" i="45"/>
  <c r="E29" i="7"/>
  <c r="H29" i="7" s="1"/>
  <c r="E105" i="40"/>
  <c r="P105" i="20"/>
  <c r="P104" i="20"/>
  <c r="P104" i="43"/>
  <c r="P106" i="43"/>
  <c r="E43" i="7"/>
  <c r="I43" i="7" s="1"/>
  <c r="E28" i="7"/>
  <c r="H28" i="7" s="1"/>
  <c r="E22" i="7"/>
  <c r="H22" i="7" s="1"/>
  <c r="T114" i="45"/>
  <c r="U114" i="45" s="1"/>
  <c r="E42" i="7"/>
  <c r="I42" i="7" s="1"/>
  <c r="E105" i="21"/>
  <c r="E41" i="7"/>
  <c r="I41" i="7" s="1"/>
  <c r="E104" i="20"/>
  <c r="T113" i="33"/>
  <c r="E105" i="50"/>
  <c r="E40" i="7"/>
  <c r="I40" i="7" s="1"/>
  <c r="E27" i="7"/>
  <c r="H27" i="7" s="1"/>
  <c r="E21" i="7"/>
  <c r="H21" i="7" s="1"/>
  <c r="T8" i="21"/>
  <c r="P106" i="21" s="1"/>
  <c r="T114" i="31"/>
  <c r="U114" i="31" s="1"/>
  <c r="E19" i="7"/>
  <c r="J19" i="7" s="1"/>
  <c r="T8" i="17"/>
  <c r="P104" i="17" s="1"/>
  <c r="I114" i="35"/>
  <c r="H18" i="7"/>
  <c r="E25" i="7"/>
  <c r="H25" i="7" s="1"/>
  <c r="E14" i="7"/>
  <c r="H14" i="7" s="1"/>
  <c r="E106" i="25"/>
  <c r="D45" i="60"/>
  <c r="E24" i="7"/>
  <c r="H24" i="7" s="1"/>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G479" i="64"/>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8" i="64"/>
  <c r="G478" i="64" s="1"/>
  <c r="F469" i="64"/>
  <c r="G469" i="64" s="1"/>
  <c r="F477" i="64"/>
  <c r="G477" i="64" s="1"/>
  <c r="T123" i="17"/>
  <c r="F468" i="64"/>
  <c r="G468" i="64" s="1"/>
  <c r="H123" i="7"/>
  <c r="T121" i="7"/>
  <c r="F476" i="64"/>
  <c r="G476" i="64" s="1"/>
  <c r="F467" i="64"/>
  <c r="G467" i="64" s="1"/>
  <c r="E105" i="16"/>
  <c r="F475" i="64"/>
  <c r="G475" i="64" s="1"/>
  <c r="I114" i="16"/>
  <c r="T114" i="16"/>
  <c r="U114" i="16" s="1"/>
  <c r="I122" i="17"/>
  <c r="I123" i="17"/>
  <c r="F463" i="64"/>
  <c r="G463" i="64" s="1"/>
  <c r="F464" i="64"/>
  <c r="G464" i="64" s="1"/>
  <c r="F465" i="64"/>
  <c r="G465" i="64" s="1"/>
  <c r="F461" i="64"/>
  <c r="G461" i="64" s="1"/>
  <c r="F473" i="64"/>
  <c r="G473" i="64" s="1"/>
  <c r="G472" i="64"/>
  <c r="F462" i="64"/>
  <c r="G462" i="64" s="1"/>
  <c r="C30" i="60"/>
  <c r="C32" i="60" s="1"/>
  <c r="R94" i="18"/>
  <c r="F471" i="64"/>
  <c r="G471"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J17" i="7" s="1"/>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74" i="64" l="1"/>
  <c r="F482" i="64"/>
  <c r="I112" i="60"/>
  <c r="I111" i="60"/>
  <c r="H19" i="35"/>
  <c r="I19" i="35" s="1"/>
  <c r="G470" i="64"/>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21" i="7"/>
  <c r="I22" i="7"/>
  <c r="I14" i="7"/>
  <c r="I27" i="7"/>
  <c r="I28" i="7"/>
  <c r="I25" i="7"/>
  <c r="I20" i="7"/>
  <c r="I18" i="7"/>
  <c r="H18" i="60"/>
  <c r="I23" i="7"/>
  <c r="I24" i="7"/>
  <c r="I24" i="60" s="1"/>
  <c r="H24" i="60"/>
  <c r="I29" i="7"/>
  <c r="I26" i="7"/>
  <c r="I26" i="60" s="1"/>
  <c r="H26"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E15" i="60"/>
  <c r="I44" i="38"/>
  <c r="E44" i="39"/>
  <c r="I44" i="25"/>
  <c r="E30" i="34"/>
  <c r="H17" i="71"/>
  <c r="I17" i="71" s="1"/>
  <c r="E44" i="69"/>
  <c r="P105" i="28"/>
  <c r="P104" i="28"/>
  <c r="E44" i="21"/>
  <c r="I44" i="21"/>
  <c r="H19" i="32"/>
  <c r="I19" i="32" s="1"/>
  <c r="H14" i="52"/>
  <c r="E14" i="60"/>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E21" i="60"/>
  <c r="E27" i="60"/>
  <c r="H28" i="60"/>
  <c r="E28" i="60"/>
  <c r="E18" i="60"/>
  <c r="I44" i="16"/>
  <c r="H15" i="22"/>
  <c r="I15" i="22" s="1"/>
  <c r="I43" i="60"/>
  <c r="E43" i="60"/>
  <c r="H17" i="18"/>
  <c r="I17" i="18" s="1"/>
  <c r="H23" i="16"/>
  <c r="H23" i="60" s="1"/>
  <c r="E23" i="60"/>
  <c r="E42" i="60"/>
  <c r="E44" i="16"/>
  <c r="I123" i="78"/>
  <c r="I124" i="78" s="1"/>
  <c r="T123" i="78"/>
  <c r="P106" i="67"/>
  <c r="P104" i="67"/>
  <c r="P105" i="67"/>
  <c r="H17" i="58"/>
  <c r="I17" i="58" s="1"/>
  <c r="H19" i="66"/>
  <c r="I19" i="66" s="1"/>
  <c r="C105" i="55"/>
  <c r="H105" i="55" s="1"/>
  <c r="E30" i="56"/>
  <c r="H15" i="48"/>
  <c r="I15" i="48" s="1"/>
  <c r="E30" i="50"/>
  <c r="H14" i="50"/>
  <c r="I14" i="50" s="1"/>
  <c r="P106" i="42"/>
  <c r="P104" i="42"/>
  <c r="P105" i="42"/>
  <c r="E44" i="27"/>
  <c r="H15" i="31"/>
  <c r="I15" i="31" s="1"/>
  <c r="H17" i="28"/>
  <c r="I17" i="28" s="1"/>
  <c r="H14" i="28"/>
  <c r="I14" i="28" s="1"/>
  <c r="E30" i="28"/>
  <c r="E30" i="17"/>
  <c r="H14" i="17"/>
  <c r="I14" i="17" s="1"/>
  <c r="E44" i="20"/>
  <c r="H20" i="60"/>
  <c r="E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29" i="60" s="1"/>
  <c r="E29" i="60"/>
  <c r="H17" i="24"/>
  <c r="I17" i="24" s="1"/>
  <c r="H15" i="21"/>
  <c r="I15" i="21" s="1"/>
  <c r="I123" i="25"/>
  <c r="I124" i="25" s="1"/>
  <c r="T123" i="25"/>
  <c r="E16" i="60"/>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G460"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E19" i="60"/>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17" i="60"/>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E26" i="60"/>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25" i="60"/>
  <c r="E44" i="60"/>
  <c r="C106" i="76" l="1"/>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H30" i="43"/>
  <c r="C72" i="43" s="1"/>
  <c r="C104" i="71"/>
  <c r="H104" i="71" s="1"/>
  <c r="C104" i="76"/>
  <c r="H104" i="76" s="1"/>
  <c r="H30" i="56"/>
  <c r="C72" i="56" s="1"/>
  <c r="H22" i="60"/>
  <c r="H19" i="60"/>
  <c r="I17" i="7"/>
  <c r="H17" i="60"/>
  <c r="I16" i="7"/>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I20" i="60"/>
  <c r="C104" i="52"/>
  <c r="H104" i="52" s="1"/>
  <c r="I14" i="52"/>
  <c r="I30" i="52" s="1"/>
  <c r="I28" i="60"/>
  <c r="I23" i="16"/>
  <c r="I25" i="16"/>
  <c r="I25" i="60" s="1"/>
  <c r="I40" i="60"/>
  <c r="C106" i="70"/>
  <c r="H106" i="70" s="1"/>
  <c r="C69" i="34"/>
  <c r="H70" i="34" s="1"/>
  <c r="I30" i="76"/>
  <c r="I30" i="71"/>
  <c r="I27" i="60"/>
  <c r="I42" i="60"/>
  <c r="I46" i="43"/>
  <c r="C106" i="78"/>
  <c r="H106" i="78" s="1"/>
  <c r="C105" i="57"/>
  <c r="H105" i="57" s="1"/>
  <c r="H30" i="76"/>
  <c r="C105" i="76"/>
  <c r="H105" i="76" s="1"/>
  <c r="C106" i="52"/>
  <c r="H106" i="52" s="1"/>
  <c r="H30" i="52"/>
  <c r="C69" i="52"/>
  <c r="H70" i="52" s="1"/>
  <c r="H98" i="52" s="1"/>
  <c r="I98" i="52" s="1"/>
  <c r="H133" i="32"/>
  <c r="U126" i="32" s="1"/>
  <c r="C69" i="32"/>
  <c r="H70" i="32" s="1"/>
  <c r="H98" i="32" s="1"/>
  <c r="I98" i="32" s="1"/>
  <c r="C105" i="68"/>
  <c r="H105" i="68" s="1"/>
  <c r="C106" i="32"/>
  <c r="H106" i="32" s="1"/>
  <c r="C105" i="71"/>
  <c r="H105" i="71" s="1"/>
  <c r="H30" i="71"/>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I21" i="60"/>
  <c r="C105" i="45"/>
  <c r="H105" i="45" s="1"/>
  <c r="C69" i="35"/>
  <c r="H70" i="35" s="1"/>
  <c r="H98" i="35" s="1"/>
  <c r="I98" i="35" s="1"/>
  <c r="H30" i="58"/>
  <c r="I30" i="58"/>
  <c r="C104" i="58"/>
  <c r="C69" i="40"/>
  <c r="H70" i="40" s="1"/>
  <c r="H98" i="40" s="1"/>
  <c r="I98" i="40" s="1"/>
  <c r="I30" i="68"/>
  <c r="C104" i="68"/>
  <c r="H30" i="68"/>
  <c r="I39" i="60"/>
  <c r="I18" i="60"/>
  <c r="I30" i="55"/>
  <c r="C106" i="16"/>
  <c r="H106" i="16" s="1"/>
  <c r="C69" i="33"/>
  <c r="H70" i="33" s="1"/>
  <c r="H98" i="33" s="1"/>
  <c r="I98" i="33" s="1"/>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C105" i="20"/>
  <c r="H105" i="20" s="1"/>
  <c r="C69" i="66"/>
  <c r="H70" i="66" s="1"/>
  <c r="H98" i="66" s="1"/>
  <c r="I98" i="66" s="1"/>
  <c r="E34" i="62"/>
  <c r="E38" i="62" s="1"/>
  <c r="C69" i="7"/>
  <c r="C106" i="50"/>
  <c r="H106" i="50" s="1"/>
  <c r="C105" i="70"/>
  <c r="H105" i="70" s="1"/>
  <c r="C69" i="70"/>
  <c r="H70" i="70" s="1"/>
  <c r="H98" i="70" s="1"/>
  <c r="I98" i="70" s="1"/>
  <c r="C69" i="25"/>
  <c r="H70" i="25" s="1"/>
  <c r="H98" i="25" s="1"/>
  <c r="I98" i="25" s="1"/>
  <c r="H30" i="17"/>
  <c r="C104" i="17"/>
  <c r="C69" i="50"/>
  <c r="H70" i="50" s="1"/>
  <c r="H98" i="50" s="1"/>
  <c r="I98" i="50" s="1"/>
  <c r="C69" i="31"/>
  <c r="H70" i="31" s="1"/>
  <c r="H98" i="31" s="1"/>
  <c r="I98" i="31" s="1"/>
  <c r="C69" i="45"/>
  <c r="H70" i="45" s="1"/>
  <c r="H98" i="45" s="1"/>
  <c r="I98" i="45" s="1"/>
  <c r="H30" i="23"/>
  <c r="C104" i="23"/>
  <c r="C69" i="18"/>
  <c r="H70" i="18" s="1"/>
  <c r="H98" i="18" s="1"/>
  <c r="I98" i="18" s="1"/>
  <c r="I30" i="27"/>
  <c r="C104" i="27"/>
  <c r="H30" i="27"/>
  <c r="I30" i="56"/>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H30" i="45"/>
  <c r="I30" i="45"/>
  <c r="C104" i="45"/>
  <c r="C69" i="23"/>
  <c r="H70" i="23" s="1"/>
  <c r="H98" i="23" s="1"/>
  <c r="I98" i="23" s="1"/>
  <c r="H30" i="78"/>
  <c r="I30" i="78"/>
  <c r="C104" i="78"/>
  <c r="C69" i="51"/>
  <c r="H70" i="51" s="1"/>
  <c r="H98" i="51" s="1"/>
  <c r="I98" i="51" s="1"/>
  <c r="C69" i="28"/>
  <c r="H70" i="28" s="1"/>
  <c r="H98" i="28" s="1"/>
  <c r="I98" i="28" s="1"/>
  <c r="C69" i="56"/>
  <c r="H70" i="56" s="1"/>
  <c r="H98" i="56" s="1"/>
  <c r="I98" i="56" s="1"/>
  <c r="C105" i="38"/>
  <c r="H105" i="38" s="1"/>
  <c r="C69" i="42"/>
  <c r="H70" i="42" s="1"/>
  <c r="H98" i="42" s="1"/>
  <c r="I98" i="42" s="1"/>
  <c r="C69" i="75"/>
  <c r="H70" i="75" s="1"/>
  <c r="H98" i="75" s="1"/>
  <c r="I98" i="75" s="1"/>
  <c r="C69" i="30"/>
  <c r="H70" i="30" s="1"/>
  <c r="H98" i="30" s="1"/>
  <c r="I98" i="30" s="1"/>
  <c r="C69" i="24"/>
  <c r="H70" i="24" s="1"/>
  <c r="H98" i="24" s="1"/>
  <c r="I98" i="24" s="1"/>
  <c r="C105" i="32"/>
  <c r="H105" i="32" s="1"/>
  <c r="C69" i="27"/>
  <c r="H70" i="27" s="1"/>
  <c r="H98" i="27" s="1"/>
  <c r="I98" i="27" s="1"/>
  <c r="C69" i="44"/>
  <c r="H70" i="44" s="1"/>
  <c r="H98" i="44" s="1"/>
  <c r="I98" i="44" s="1"/>
  <c r="C105" i="67"/>
  <c r="H105" i="67" s="1"/>
  <c r="C69" i="78"/>
  <c r="H70" i="78" s="1"/>
  <c r="H98" i="78" s="1"/>
  <c r="I98" i="78" s="1"/>
  <c r="C105" i="66"/>
  <c r="H105" i="66" s="1"/>
  <c r="C105" i="31"/>
  <c r="H105" i="31" s="1"/>
  <c r="C106" i="77"/>
  <c r="H106" i="77" s="1"/>
  <c r="H30" i="51"/>
  <c r="I30" i="51"/>
  <c r="C104" i="51"/>
  <c r="C104" i="16"/>
  <c r="H30" i="16"/>
  <c r="I30" i="28"/>
  <c r="C104" i="28"/>
  <c r="H30" i="28"/>
  <c r="E30" i="60"/>
  <c r="C69" i="39"/>
  <c r="H70" i="39" s="1"/>
  <c r="H98" i="39" s="1"/>
  <c r="I98" i="39" s="1"/>
  <c r="I30" i="24"/>
  <c r="C104" i="24"/>
  <c r="H30" i="24"/>
  <c r="C106" i="67"/>
  <c r="H106" i="67" s="1"/>
  <c r="H30" i="26"/>
  <c r="C104" i="26"/>
  <c r="I30" i="44"/>
  <c r="C105" i="44"/>
  <c r="H105" i="44" s="1"/>
  <c r="H30" i="44"/>
  <c r="H30" i="77"/>
  <c r="I30" i="77"/>
  <c r="C104" i="77"/>
  <c r="C69" i="16"/>
  <c r="C69" i="47"/>
  <c r="H70" i="47" s="1"/>
  <c r="H98" i="47" s="1"/>
  <c r="I98" i="47" s="1"/>
  <c r="I30" i="21"/>
  <c r="C106" i="21"/>
  <c r="H106" i="21" s="1"/>
  <c r="H104" i="40"/>
  <c r="C106" i="20"/>
  <c r="H106" i="20" s="1"/>
  <c r="C69" i="37"/>
  <c r="H70" i="37" s="1"/>
  <c r="H98" i="37" s="1"/>
  <c r="I98" i="37" s="1"/>
  <c r="C69" i="26"/>
  <c r="H70" i="26" s="1"/>
  <c r="H98" i="26" s="1"/>
  <c r="I98" i="26" s="1"/>
  <c r="C69" i="43"/>
  <c r="H70" i="43" s="1"/>
  <c r="H98" i="43" s="1"/>
  <c r="I98" i="43" s="1"/>
  <c r="H30" i="38"/>
  <c r="I30" i="38"/>
  <c r="C104" i="38"/>
  <c r="C105" i="21"/>
  <c r="H105" i="21" s="1"/>
  <c r="C105" i="78"/>
  <c r="H105" i="78" s="1"/>
  <c r="C105" i="30"/>
  <c r="H105" i="30" s="1"/>
  <c r="C69" i="77"/>
  <c r="H70" i="77" s="1"/>
  <c r="H98" i="77" s="1"/>
  <c r="I98" i="77" s="1"/>
  <c r="H30" i="40"/>
  <c r="I30" i="47"/>
  <c r="H30" i="47"/>
  <c r="C104" i="47"/>
  <c r="C105" i="37"/>
  <c r="H105" i="37" s="1"/>
  <c r="C69" i="67"/>
  <c r="H70" i="67" s="1"/>
  <c r="H98" i="67" s="1"/>
  <c r="I98" i="67" s="1"/>
  <c r="H30" i="37"/>
  <c r="I30" i="37"/>
  <c r="C104" i="37"/>
  <c r="I22" i="60"/>
  <c r="C69" i="38"/>
  <c r="H70" i="38" s="1"/>
  <c r="H98" i="38" s="1"/>
  <c r="I98" i="38" s="1"/>
  <c r="H30" i="7"/>
  <c r="C106" i="17"/>
  <c r="H106" i="17" s="1"/>
  <c r="C106" i="66"/>
  <c r="H106" i="66" s="1"/>
  <c r="C105" i="40"/>
  <c r="H105" i="40" s="1"/>
  <c r="C104" i="67"/>
  <c r="H30" i="67"/>
  <c r="H30" i="32"/>
  <c r="C104" i="32"/>
  <c r="C105" i="18"/>
  <c r="H105" i="18" s="1"/>
  <c r="I30" i="36"/>
  <c r="C104" i="36"/>
  <c r="H30" i="36"/>
  <c r="C69" i="48"/>
  <c r="H70" i="48" s="1"/>
  <c r="H98" i="48" s="1"/>
  <c r="I98" i="48" s="1"/>
  <c r="C104" i="20"/>
  <c r="H30" i="20"/>
  <c r="C69" i="76"/>
  <c r="H70" i="76" s="1"/>
  <c r="H98" i="76" s="1"/>
  <c r="I98" i="76" s="1"/>
  <c r="C69" i="71"/>
  <c r="H70" i="71" s="1"/>
  <c r="H98" i="71" s="1"/>
  <c r="I98" i="71" s="1"/>
  <c r="C106" i="18"/>
  <c r="H106" i="18" s="1"/>
  <c r="C104" i="57"/>
  <c r="H30" i="57"/>
  <c r="I30" i="57"/>
  <c r="I30" i="69"/>
  <c r="C105" i="69"/>
  <c r="H30" i="69"/>
  <c r="C69" i="22"/>
  <c r="H70" i="22" s="1"/>
  <c r="H98" i="22" s="1"/>
  <c r="I98" i="22" s="1"/>
  <c r="I30" i="39"/>
  <c r="C104" i="39"/>
  <c r="H30" i="39"/>
  <c r="C106" i="58"/>
  <c r="H106" i="58" s="1"/>
  <c r="H30" i="18"/>
  <c r="C104" i="18"/>
  <c r="H30" i="55"/>
  <c r="C106" i="38"/>
  <c r="H106" i="38" s="1"/>
  <c r="C69" i="36"/>
  <c r="H70" i="36" s="1"/>
  <c r="H98" i="36" s="1"/>
  <c r="I98" i="36" s="1"/>
  <c r="I30" i="48"/>
  <c r="C106" i="48"/>
  <c r="H106" i="48" s="1"/>
  <c r="C105" i="26"/>
  <c r="H105" i="26" s="1"/>
  <c r="H30" i="48"/>
  <c r="I124" i="7"/>
  <c r="H30" i="34"/>
  <c r="E45" i="60"/>
  <c r="C69" i="21"/>
  <c r="H70" i="21" s="1"/>
  <c r="H98" i="21" s="1"/>
  <c r="I98" i="21" s="1"/>
  <c r="C69" i="20"/>
  <c r="H70" i="20" s="1"/>
  <c r="H98" i="20" s="1"/>
  <c r="I98" i="20" s="1"/>
  <c r="C69" i="58"/>
  <c r="H70" i="58" s="1"/>
  <c r="H98" i="58" s="1"/>
  <c r="I98" i="58" s="1"/>
  <c r="C69" i="57"/>
  <c r="H70" i="57" s="1"/>
  <c r="H98" i="57" s="1"/>
  <c r="I98" i="57" s="1"/>
  <c r="H30" i="22"/>
  <c r="C104" i="22"/>
  <c r="I30" i="22"/>
  <c r="C69" i="68"/>
  <c r="H70" i="68" s="1"/>
  <c r="H98" i="68" s="1"/>
  <c r="I98" i="68" s="1"/>
  <c r="C106" i="40"/>
  <c r="H106" i="40" s="1"/>
  <c r="C106" i="26"/>
  <c r="H106" i="26" s="1"/>
  <c r="C104" i="55"/>
  <c r="H70" i="16" l="1"/>
  <c r="H88" i="16" s="1"/>
  <c r="C102" i="60"/>
  <c r="H88" i="34"/>
  <c r="I88" i="34" s="1"/>
  <c r="H98" i="34"/>
  <c r="I98" i="34" s="1"/>
  <c r="C103" i="60"/>
  <c r="H104" i="60"/>
  <c r="C104" i="60"/>
  <c r="E46" i="43"/>
  <c r="C107" i="33"/>
  <c r="I107" i="33"/>
  <c r="C72" i="33"/>
  <c r="H73" i="33" s="1"/>
  <c r="I107" i="34"/>
  <c r="U126" i="7"/>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P113" i="52"/>
  <c r="U113" i="5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23" i="60"/>
  <c r="I85" i="34"/>
  <c r="I92" i="34"/>
  <c r="I90" i="34"/>
  <c r="I90" i="52"/>
  <c r="I107" i="71"/>
  <c r="I30" i="32"/>
  <c r="C107" i="71"/>
  <c r="I107" i="52"/>
  <c r="C107" i="52"/>
  <c r="C107" i="76"/>
  <c r="I92" i="52"/>
  <c r="I85" i="52"/>
  <c r="H88" i="52"/>
  <c r="I88" i="52" s="1"/>
  <c r="I107" i="76"/>
  <c r="I45" i="60"/>
  <c r="I16" i="60"/>
  <c r="C107" i="7"/>
  <c r="I30" i="7"/>
  <c r="C107" i="34"/>
  <c r="I46" i="75"/>
  <c r="I30" i="67"/>
  <c r="C107" i="21"/>
  <c r="I107" i="44"/>
  <c r="I19" i="60"/>
  <c r="I17" i="60"/>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I15" i="60"/>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H88" i="67"/>
  <c r="I88" i="67" s="1"/>
  <c r="I90" i="67"/>
  <c r="I92" i="67"/>
  <c r="I85" i="67"/>
  <c r="H88" i="77"/>
  <c r="I88" i="77" s="1"/>
  <c r="I85" i="77"/>
  <c r="I90" i="77"/>
  <c r="I92" i="77"/>
  <c r="I14" i="60"/>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H98" i="16" l="1"/>
  <c r="I98" i="16" s="1"/>
  <c r="H96" i="56"/>
  <c r="I96" i="56" s="1"/>
  <c r="I128" i="56" s="1"/>
  <c r="H102" i="60"/>
  <c r="I107" i="7"/>
  <c r="H103" i="60"/>
  <c r="H88" i="7"/>
  <c r="I88" i="7" s="1"/>
  <c r="H98" i="7"/>
  <c r="I98" i="7" s="1"/>
  <c r="I86" i="60"/>
  <c r="C74" i="60"/>
  <c r="H75" i="60" s="1"/>
  <c r="I52" i="38"/>
  <c r="I52" i="22"/>
  <c r="I51" i="69"/>
  <c r="I51" i="37"/>
  <c r="I52" i="76"/>
  <c r="I51" i="36"/>
  <c r="I51" i="68"/>
  <c r="I52" i="48"/>
  <c r="I52" i="58"/>
  <c r="I51" i="40"/>
  <c r="I52" i="25"/>
  <c r="I51" i="56"/>
  <c r="I51" i="52"/>
  <c r="I51" i="42"/>
  <c r="I52" i="21"/>
  <c r="I52" i="3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1" i="31"/>
  <c r="I52" i="34"/>
  <c r="I51" i="58"/>
  <c r="I51" i="47"/>
  <c r="O105" i="34"/>
  <c r="T105" i="34" s="1"/>
  <c r="C105" i="60"/>
  <c r="I51" i="78"/>
  <c r="I52" i="24"/>
  <c r="I52" i="51"/>
  <c r="I52" i="57"/>
  <c r="I91" i="60"/>
  <c r="I93" i="60"/>
  <c r="I89" i="60"/>
  <c r="O106" i="34"/>
  <c r="T106" i="34" s="1"/>
  <c r="P30" i="34"/>
  <c r="P78" i="34" s="1"/>
  <c r="T79" i="34" s="1"/>
  <c r="T85" i="34" s="1"/>
  <c r="U85" i="34" s="1"/>
  <c r="P30" i="52"/>
  <c r="P69" i="52" s="1"/>
  <c r="T70" i="52" s="1"/>
  <c r="I52" i="36"/>
  <c r="I51" i="44"/>
  <c r="R44" i="34"/>
  <c r="I52" i="68"/>
  <c r="I52" i="52"/>
  <c r="I52" i="56"/>
  <c r="I52" i="27"/>
  <c r="U44" i="52"/>
  <c r="I46" i="17"/>
  <c r="O106" i="52"/>
  <c r="T106" i="52" s="1"/>
  <c r="I46" i="66"/>
  <c r="I52" i="71"/>
  <c r="T14" i="52"/>
  <c r="U14" i="52" s="1"/>
  <c r="U30" i="52" s="1"/>
  <c r="I46" i="67"/>
  <c r="I52" i="42"/>
  <c r="I51" i="21"/>
  <c r="I46" i="18"/>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U124" i="42"/>
  <c r="U124" i="68"/>
  <c r="U124" i="55"/>
  <c r="U124" i="20"/>
  <c r="U124" i="44"/>
  <c r="U124" i="75"/>
  <c r="U124" i="25"/>
  <c r="U124" i="30"/>
  <c r="U124" i="16"/>
  <c r="I30" i="60"/>
  <c r="I32" i="60" s="1"/>
  <c r="I47" i="60" s="1"/>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7" l="1"/>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I128" i="50"/>
  <c r="I130" i="50" s="1"/>
  <c r="H135" i="50" s="1"/>
  <c r="I128" i="48"/>
  <c r="I130" i="48" s="1"/>
  <c r="H135" i="48" s="1"/>
  <c r="I128" i="70"/>
  <c r="I128" i="26"/>
  <c r="I128" i="69"/>
  <c r="I128" i="47"/>
  <c r="I130" i="47" s="1"/>
  <c r="H135" i="47" s="1"/>
  <c r="I135" i="47" s="1"/>
  <c r="I128" i="66"/>
  <c r="I128" i="30"/>
  <c r="I128" i="77"/>
  <c r="I130" i="77" s="1"/>
  <c r="H135" i="77" s="1"/>
  <c r="I128" i="34"/>
  <c r="I128" i="27"/>
  <c r="I130" i="27" s="1"/>
  <c r="H135" i="27" s="1"/>
  <c r="I128" i="44"/>
  <c r="I130" i="44" s="1"/>
  <c r="H135" i="44" s="1"/>
  <c r="I128" i="28"/>
  <c r="I53" i="70"/>
  <c r="I53" i="67"/>
  <c r="I128" i="20"/>
  <c r="I128" i="55"/>
  <c r="I130" i="55" s="1"/>
  <c r="H135" i="55" s="1"/>
  <c r="I135" i="55" s="1"/>
  <c r="I128" i="25"/>
  <c r="I128" i="21"/>
  <c r="I128" i="78"/>
  <c r="I53" i="16"/>
  <c r="O107" i="52"/>
  <c r="T104" i="52"/>
  <c r="U107" i="52" s="1"/>
  <c r="I53" i="26"/>
  <c r="I53" i="32"/>
  <c r="I130" i="32" s="1"/>
  <c r="H135" i="32" s="1"/>
  <c r="I135" i="32" s="1"/>
  <c r="I53" i="17"/>
  <c r="I128" i="42"/>
  <c r="I130" i="42" s="1"/>
  <c r="H135" i="42" s="1"/>
  <c r="I128" i="40"/>
  <c r="I53" i="23"/>
  <c r="I53" i="20"/>
  <c r="I53" i="30"/>
  <c r="I128" i="37"/>
  <c r="I130" i="37" s="1"/>
  <c r="H135" i="37" s="1"/>
  <c r="I128" i="52"/>
  <c r="I128" i="31"/>
  <c r="I130" i="31" s="1"/>
  <c r="I128" i="71"/>
  <c r="I128" i="45"/>
  <c r="I130" i="45" s="1"/>
  <c r="H135" i="45" s="1"/>
  <c r="I135" i="45" s="1"/>
  <c r="I128" i="51"/>
  <c r="I128" i="17"/>
  <c r="I128" i="18"/>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53" i="60"/>
  <c r="I53" i="7"/>
  <c r="I95" i="60"/>
  <c r="F53" i="60"/>
  <c r="F54" i="60"/>
  <c r="I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I137" i="33"/>
  <c r="I141" i="33" s="1"/>
  <c r="I145" i="33" s="1"/>
  <c r="O107" i="20"/>
  <c r="U107" i="20"/>
  <c r="O107" i="36"/>
  <c r="U107" i="36"/>
  <c r="I147" i="33"/>
  <c r="O107" i="18"/>
  <c r="O107" i="78"/>
  <c r="U107" i="78"/>
  <c r="O107" i="30"/>
  <c r="U107" i="30"/>
  <c r="O107" i="51"/>
  <c r="U107" i="51"/>
  <c r="O107" i="75"/>
  <c r="U107" i="75"/>
  <c r="O107" i="40"/>
  <c r="U107" i="40"/>
  <c r="O107" i="70"/>
  <c r="U107" i="70"/>
  <c r="U107" i="44"/>
  <c r="O107" i="44"/>
  <c r="I130" i="71" l="1"/>
  <c r="Q19" i="79"/>
  <c r="Q29" i="79"/>
  <c r="I130" i="66"/>
  <c r="H135" i="66" s="1"/>
  <c r="I135" i="66" s="1"/>
  <c r="I130" i="28"/>
  <c r="H135" i="28" s="1"/>
  <c r="T96" i="28"/>
  <c r="U96" i="28" s="1"/>
  <c r="U128" i="28" s="1"/>
  <c r="I147" i="45"/>
  <c r="I135" i="75"/>
  <c r="I147" i="75" s="1"/>
  <c r="I135" i="39"/>
  <c r="I147" i="39" s="1"/>
  <c r="I135" i="42"/>
  <c r="I147" i="42" s="1"/>
  <c r="I135" i="44"/>
  <c r="I135" i="77"/>
  <c r="I137" i="77" s="1"/>
  <c r="I141" i="77" s="1"/>
  <c r="I145" i="77" s="1"/>
  <c r="I135" i="76"/>
  <c r="I147" i="76" s="1"/>
  <c r="I135" i="58"/>
  <c r="I135" i="35"/>
  <c r="I147" i="35" s="1"/>
  <c r="I135" i="48"/>
  <c r="I137" i="48" s="1"/>
  <c r="I141" i="48" s="1"/>
  <c r="I145" i="48" s="1"/>
  <c r="I130" i="51"/>
  <c r="H135" i="51" s="1"/>
  <c r="I135" i="27"/>
  <c r="I147" i="27" s="1"/>
  <c r="I135" i="50"/>
  <c r="I147" i="50" s="1"/>
  <c r="I135" i="37"/>
  <c r="I147" i="37" s="1"/>
  <c r="I130" i="78"/>
  <c r="H135" i="78" s="1"/>
  <c r="I55" i="60"/>
  <c r="I130" i="34"/>
  <c r="H135" i="34" s="1"/>
  <c r="I135" i="34" s="1"/>
  <c r="I130" i="18"/>
  <c r="I130" i="38"/>
  <c r="H135" i="38" s="1"/>
  <c r="U53" i="76"/>
  <c r="U53" i="17"/>
  <c r="U53" i="66"/>
  <c r="U53" i="43"/>
  <c r="I130" i="69"/>
  <c r="H135" i="69" s="1"/>
  <c r="U53" i="58"/>
  <c r="I130" i="7"/>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U53" i="55"/>
  <c r="I130" i="70"/>
  <c r="H135" i="70" s="1"/>
  <c r="U53" i="39"/>
  <c r="I130" i="67"/>
  <c r="H135" i="67" s="1"/>
  <c r="U53" i="70"/>
  <c r="U53" i="71"/>
  <c r="U53" i="18"/>
  <c r="U53" i="24"/>
  <c r="U53" i="50"/>
  <c r="U53" i="68"/>
  <c r="U53" i="48"/>
  <c r="I130" i="17"/>
  <c r="U53" i="57"/>
  <c r="U53" i="16"/>
  <c r="U53" i="77"/>
  <c r="U53" i="47"/>
  <c r="U53" i="35"/>
  <c r="I130" i="68"/>
  <c r="H135" i="68" s="1"/>
  <c r="I130" i="23"/>
  <c r="I130" i="30"/>
  <c r="H135" i="30" s="1"/>
  <c r="U53" i="26"/>
  <c r="U53" i="21"/>
  <c r="U53" i="25"/>
  <c r="I130" i="40"/>
  <c r="H135" i="40" s="1"/>
  <c r="I135" i="40" s="1"/>
  <c r="U53" i="32"/>
  <c r="I130" i="21"/>
  <c r="H135" i="21" s="1"/>
  <c r="I135" i="21" s="1"/>
  <c r="I130" i="26"/>
  <c r="U53" i="78"/>
  <c r="I130" i="25"/>
  <c r="H135" i="25" s="1"/>
  <c r="I135"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7" i="57"/>
  <c r="I141" i="57" s="1"/>
  <c r="I145" i="57" s="1"/>
  <c r="I147" i="57"/>
  <c r="E243" i="64"/>
  <c r="G243" i="64" s="1"/>
  <c r="E152" i="64"/>
  <c r="G152" i="64" s="1"/>
  <c r="I137" i="47"/>
  <c r="I141" i="47" s="1"/>
  <c r="I145" i="47" s="1"/>
  <c r="I147" i="47"/>
  <c r="I137" i="55"/>
  <c r="I141" i="55" s="1"/>
  <c r="I145" i="55" s="1"/>
  <c r="I137" i="56"/>
  <c r="I141" i="56" s="1"/>
  <c r="I145" i="56" s="1"/>
  <c r="I147" i="56"/>
  <c r="I147" i="55"/>
  <c r="I137" i="32"/>
  <c r="I141" i="32" s="1"/>
  <c r="I145" i="32" s="1"/>
  <c r="I147" i="32"/>
  <c r="Q49" i="79" l="1"/>
  <c r="Q41" i="79"/>
  <c r="Q40" i="79"/>
  <c r="Q39" i="79"/>
  <c r="Q32" i="79"/>
  <c r="Q18" i="79"/>
  <c r="I135" i="67"/>
  <c r="I147" i="67" s="1"/>
  <c r="I147" i="66"/>
  <c r="Q33" i="79"/>
  <c r="I135" i="28"/>
  <c r="I147" i="28" s="1"/>
  <c r="I137" i="76"/>
  <c r="I141" i="76" s="1"/>
  <c r="I145" i="76" s="1"/>
  <c r="I137" i="75"/>
  <c r="I141" i="75" s="1"/>
  <c r="I145" i="75" s="1"/>
  <c r="I137" i="27"/>
  <c r="I141" i="27" s="1"/>
  <c r="I145" i="27" s="1"/>
  <c r="I137" i="42"/>
  <c r="I141" i="42" s="1"/>
  <c r="I145" i="42" s="1"/>
  <c r="I137" i="39"/>
  <c r="I141" i="39" s="1"/>
  <c r="I145" i="39" s="1"/>
  <c r="I137" i="37"/>
  <c r="I141" i="37" s="1"/>
  <c r="I145" i="37" s="1"/>
  <c r="I137" i="50"/>
  <c r="I141" i="50" s="1"/>
  <c r="I145" i="50" s="1"/>
  <c r="I147" i="77"/>
  <c r="I137" i="44"/>
  <c r="I141" i="44" s="1"/>
  <c r="I145" i="44" s="1"/>
  <c r="U130" i="28"/>
  <c r="I133" i="28" s="1"/>
  <c r="I147" i="44"/>
  <c r="I137" i="45"/>
  <c r="I141" i="45" s="1"/>
  <c r="I145" i="45" s="1"/>
  <c r="I137" i="35"/>
  <c r="I141" i="35" s="1"/>
  <c r="I145" i="35" s="1"/>
  <c r="I137" i="58"/>
  <c r="I141" i="58" s="1"/>
  <c r="I145" i="58" s="1"/>
  <c r="I147" i="48"/>
  <c r="E423" i="64"/>
  <c r="G423" i="64" s="1"/>
  <c r="I135" i="69"/>
  <c r="I135" i="30"/>
  <c r="I137" i="30" s="1"/>
  <c r="I141" i="30" s="1"/>
  <c r="I145" i="30" s="1"/>
  <c r="I135" i="38"/>
  <c r="I135" i="70"/>
  <c r="I147" i="70" s="1"/>
  <c r="I147" i="58"/>
  <c r="I135" i="68"/>
  <c r="I137" i="66"/>
  <c r="I141" i="66" s="1"/>
  <c r="I145" i="66" s="1"/>
  <c r="I135" i="78"/>
  <c r="I147" i="78" s="1"/>
  <c r="I135" i="51"/>
  <c r="U128" i="34"/>
  <c r="U130" i="34" s="1"/>
  <c r="I133" i="34" s="1"/>
  <c r="U128" i="52"/>
  <c r="U130" i="52" s="1"/>
  <c r="I133" i="52" s="1"/>
  <c r="E278" i="64"/>
  <c r="G278" i="64" s="1"/>
  <c r="I147" i="34"/>
  <c r="I147" i="52"/>
  <c r="I137" i="52"/>
  <c r="I141" i="52" s="1"/>
  <c r="T96" i="30"/>
  <c r="T96" i="58"/>
  <c r="T96" i="66"/>
  <c r="U96" i="66" s="1"/>
  <c r="T96" i="22"/>
  <c r="U96" i="22" s="1"/>
  <c r="I147" i="21"/>
  <c r="I147" i="40"/>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2" i="64"/>
  <c r="G352" i="64" s="1"/>
  <c r="E334" i="64"/>
  <c r="G334" i="64" s="1"/>
  <c r="E269" i="64"/>
  <c r="G269" i="64" s="1"/>
  <c r="E142" i="64"/>
  <c r="G142" i="64" s="1"/>
  <c r="E345" i="64"/>
  <c r="G345" i="64" s="1"/>
  <c r="I147" i="68" l="1"/>
  <c r="I137" i="68"/>
  <c r="I141" i="68" s="1"/>
  <c r="I137" i="67"/>
  <c r="I141" i="67" s="1"/>
  <c r="I145" i="67" s="1"/>
  <c r="Q43" i="79"/>
  <c r="Q27" i="79"/>
  <c r="U128" i="18"/>
  <c r="E253" i="64"/>
  <c r="G253" i="64" s="1"/>
  <c r="Q30" i="79"/>
  <c r="E115" i="64"/>
  <c r="G115" i="64" s="1"/>
  <c r="Q15" i="79"/>
  <c r="I137" i="28"/>
  <c r="I141" i="28" s="1"/>
  <c r="I145" i="28" s="1"/>
  <c r="E124" i="64" s="1"/>
  <c r="E361" i="64"/>
  <c r="G361" i="64" s="1"/>
  <c r="Q42" i="79"/>
  <c r="E169" i="64"/>
  <c r="G169" i="64" s="1"/>
  <c r="Q21" i="79"/>
  <c r="E261" i="64"/>
  <c r="G261" i="64" s="1"/>
  <c r="Q31" i="79"/>
  <c r="E288" i="64"/>
  <c r="G288" i="64" s="1"/>
  <c r="Q34" i="79"/>
  <c r="E233" i="64"/>
  <c r="G233" i="64" s="1"/>
  <c r="Q28" i="79"/>
  <c r="E195" i="64"/>
  <c r="G195" i="64" s="1"/>
  <c r="Q24" i="79"/>
  <c r="E314" i="64"/>
  <c r="G314" i="64" s="1"/>
  <c r="Q37" i="79"/>
  <c r="E324" i="64"/>
  <c r="G324" i="64" s="1"/>
  <c r="Q38" i="79"/>
  <c r="E214" i="64"/>
  <c r="G214" i="64" s="1"/>
  <c r="Q26" i="79"/>
  <c r="I145" i="52"/>
  <c r="U96" i="30"/>
  <c r="U128" i="30" s="1"/>
  <c r="U130" i="30" s="1"/>
  <c r="I133" i="30" s="1"/>
  <c r="U94" i="77"/>
  <c r="U128" i="77" s="1"/>
  <c r="U130" i="77" s="1"/>
  <c r="I133" i="77" s="1"/>
  <c r="U94" i="31"/>
  <c r="U128" i="31" s="1"/>
  <c r="U130" i="31" s="1"/>
  <c r="I133" i="31" s="1"/>
  <c r="H135" i="31" s="1"/>
  <c r="U96" i="27"/>
  <c r="U128" i="27" s="1"/>
  <c r="U130" i="27" s="1"/>
  <c r="I133" i="27" s="1"/>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42" i="64"/>
  <c r="G442" i="64" s="1"/>
  <c r="I137" i="51"/>
  <c r="I141" i="51" s="1"/>
  <c r="I145" i="51" s="1"/>
  <c r="I147" i="51"/>
  <c r="I137" i="78"/>
  <c r="I141" i="78" s="1"/>
  <c r="I145" i="78" s="1"/>
  <c r="E370" i="64"/>
  <c r="G370" i="64" s="1"/>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E224" i="64"/>
  <c r="G224" i="64" s="1"/>
  <c r="I137" i="21"/>
  <c r="I141" i="21" s="1"/>
  <c r="I145" i="21" s="1"/>
  <c r="I137" i="25"/>
  <c r="I141" i="25" s="1"/>
  <c r="I145" i="25" s="1"/>
  <c r="E305" i="64" l="1"/>
  <c r="G305" i="64" s="1"/>
  <c r="Q35" i="79"/>
  <c r="Q20" i="79"/>
  <c r="Q11" i="79"/>
  <c r="Q10" i="79"/>
  <c r="Q44" i="79"/>
  <c r="E377" i="64"/>
  <c r="G377" i="64" s="1"/>
  <c r="G415" i="64"/>
  <c r="Q48" i="79"/>
  <c r="E203" i="64"/>
  <c r="G203" i="64" s="1"/>
  <c r="Q25" i="79"/>
  <c r="E386" i="64"/>
  <c r="G386" i="64" s="1"/>
  <c r="Q45" i="79"/>
  <c r="E433" i="64"/>
  <c r="G433" i="64" s="1"/>
  <c r="Q50" i="79"/>
  <c r="G124" i="64"/>
  <c r="Q16" i="79"/>
  <c r="Q46" i="79"/>
  <c r="E396" i="64"/>
  <c r="G396" i="64" s="1"/>
  <c r="I135" i="24"/>
  <c r="E296" i="64"/>
  <c r="G296" i="64" s="1"/>
  <c r="I135" i="31"/>
  <c r="I137" i="31" s="1"/>
  <c r="I141" i="31" s="1"/>
  <c r="I145" i="31" s="1"/>
  <c r="I135" i="26"/>
  <c r="I137" i="26" s="1"/>
  <c r="I141" i="26" s="1"/>
  <c r="I145" i="26" s="1"/>
  <c r="I135" i="7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E161" i="64"/>
  <c r="G161" i="64" s="1"/>
  <c r="G80" i="64"/>
  <c r="E70" i="64"/>
  <c r="G70" i="64" s="1"/>
  <c r="I147" i="71" l="1"/>
  <c r="I137" i="71"/>
  <c r="I141" i="71" s="1"/>
  <c r="I145" i="71" s="1"/>
  <c r="Q14" i="79"/>
  <c r="G133" i="64"/>
  <c r="Q17" i="79"/>
  <c r="Q36" i="79"/>
  <c r="I147" i="31"/>
  <c r="I137" i="24"/>
  <c r="I141" i="24" s="1"/>
  <c r="I145" i="24" s="1"/>
  <c r="I147" i="24"/>
  <c r="I147" i="26"/>
  <c r="E108" i="64"/>
  <c r="G108" i="64" s="1"/>
  <c r="I135" i="17"/>
  <c r="I135" i="36"/>
  <c r="I147" i="23"/>
  <c r="I137" i="22"/>
  <c r="I141" i="22" s="1"/>
  <c r="I145" i="22" s="1"/>
  <c r="I147" i="20"/>
  <c r="H135" i="18"/>
  <c r="I135" i="18" s="1"/>
  <c r="I147" i="22"/>
  <c r="I137" i="17" l="1"/>
  <c r="I141" i="17" s="1"/>
  <c r="I145" i="17" s="1"/>
  <c r="E100" i="64"/>
  <c r="G100" i="64" s="1"/>
  <c r="Q13" i="79"/>
  <c r="E406" i="64"/>
  <c r="G406" i="64" s="1"/>
  <c r="Q47" i="79"/>
  <c r="E91" i="64"/>
  <c r="G91" i="64" s="1"/>
  <c r="Q12" i="79"/>
  <c r="I137" i="36"/>
  <c r="I141" i="36" s="1"/>
  <c r="I145" i="36" s="1"/>
  <c r="I147" i="36"/>
  <c r="I147" i="17"/>
  <c r="I147" i="18"/>
  <c r="I137" i="20"/>
  <c r="I141" i="20" s="1"/>
  <c r="I145" i="20" s="1"/>
  <c r="Q9" i="79" s="1"/>
  <c r="I137" i="23"/>
  <c r="I141" i="23" s="1"/>
  <c r="I145" i="23" s="1"/>
  <c r="H135" i="7"/>
  <c r="I135" i="7" l="1"/>
  <c r="I147" i="7" s="1"/>
  <c r="Q23" i="79"/>
  <c r="Q22" i="79"/>
  <c r="E184" i="64"/>
  <c r="G184" i="64" s="1"/>
  <c r="E176" i="64"/>
  <c r="G176" i="64" s="1"/>
  <c r="E62" i="64"/>
  <c r="G62" i="64" s="1"/>
  <c r="I137" i="18"/>
  <c r="I141" i="18" s="1"/>
  <c r="I145" i="18" s="1"/>
  <c r="I137" i="7" l="1"/>
  <c r="I141" i="7" s="1"/>
  <c r="Q8" i="79"/>
  <c r="E43" i="64"/>
  <c r="G43" i="64" s="1"/>
  <c r="Q7" i="79"/>
  <c r="G50" i="64"/>
  <c r="I121" i="16" l="1"/>
  <c r="I122" i="16"/>
  <c r="I123" i="16"/>
  <c r="I124" i="16" l="1"/>
  <c r="I128" i="16" l="1"/>
  <c r="I126" i="60" s="1"/>
  <c r="I130" i="16" l="1"/>
  <c r="H135" i="16"/>
  <c r="I135" i="16" s="1"/>
  <c r="I133" i="60" s="1"/>
  <c r="J56" i="79" l="1"/>
  <c r="J57" i="79" s="1"/>
  <c r="I131" i="60"/>
  <c r="I128" i="60"/>
  <c r="H133" i="60" s="1"/>
  <c r="J59" i="79" l="1"/>
  <c r="I147" i="16"/>
  <c r="I137" i="16"/>
  <c r="I135" i="60" l="1"/>
  <c r="I141" i="16"/>
  <c r="I145" i="16" l="1"/>
  <c r="J55" i="79" l="1"/>
  <c r="E27" i="64"/>
  <c r="Q6" i="79" l="1"/>
  <c r="G27" i="64"/>
  <c r="I137" i="60"/>
  <c r="I139" i="60"/>
  <c r="I145" i="7" l="1"/>
  <c r="I143" i="60" l="1"/>
  <c r="E5" i="64"/>
  <c r="N53" i="79"/>
  <c r="Q53" i="79"/>
  <c r="E452" i="64" l="1"/>
  <c r="G5" i="64"/>
  <c r="G452" i="64" s="1"/>
  <c r="E459" i="64"/>
  <c r="G459" i="64" s="1"/>
  <c r="G482" i="64" s="1"/>
  <c r="G453" i="64" l="1"/>
  <c r="G484" i="64"/>
  <c r="E482" i="64"/>
</calcChain>
</file>

<file path=xl/sharedStrings.xml><?xml version="1.0" encoding="utf-8"?>
<sst xmlns="http://schemas.openxmlformats.org/spreadsheetml/2006/main" count="17850" uniqueCount="531">
  <si>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</si>
  <si>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</si>
  <si>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</si>
  <si>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</si>
  <si>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</si>
  <si>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</si>
  <si>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</si>
  <si>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</si>
  <si>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</si>
  <si>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</si>
  <si>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</si>
  <si>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</si>
  <si>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</si>
  <si>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</si>
  <si>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</si>
  <si>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</si>
  <si>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</si>
  <si>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</si>
  <si>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</si>
  <si>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</si>
  <si>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</si>
  <si>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</si>
  <si>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</si>
  <si>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</si>
  <si>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</si>
  <si>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</si>
  <si>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</si>
  <si>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</si>
  <si>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</si>
  <si>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</si>
  <si>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</si>
  <si>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</si>
  <si>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</si>
  <si>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</si>
  <si>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</si>
  <si>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</si>
  <si>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</si>
  <si>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</si>
  <si>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</si>
  <si>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</si>
  <si>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</si>
  <si>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</si>
  <si>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</si>
  <si>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</si>
  <si>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</si>
  <si>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</si>
  <si>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</si>
  <si>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</si>
  <si>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</si>
  <si>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</si>
  <si>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</si>
  <si>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</si>
  <si>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</si>
  <si>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</si>
  <si>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</si>
  <si>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</si>
  <si>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</si>
  <si>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</si>
  <si>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</si>
  <si>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</si>
  <si>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</si>
  <si>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</si>
  <si>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</si>
  <si>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</si>
  <si>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</si>
  <si>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</si>
  <si>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</si>
  <si>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</si>
  <si>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</si>
  <si>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</si>
  <si>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</si>
  <si>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</si>
  <si>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</si>
  <si>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</si>
  <si>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</si>
  <si>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</si>
  <si>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</si>
  <si>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</si>
  <si>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</si>
  <si>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</si>
  <si>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</si>
  <si>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</si>
  <si>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</si>
  <si>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</si>
  <si>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</si>
  <si>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</si>
  <si>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</si>
  <si>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</si>
  <si>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</si>
  <si>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</si>
  <si>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</si>
  <si>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</si>
  <si>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</si>
  <si>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</si>
  <si>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</si>
  <si>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</si>
  <si>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</si>
  <si>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</si>
  <si>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</si>
  <si>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</si>
  <si>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</si>
  <si>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</si>
  <si>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</si>
  <si>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</si>
  <si>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</si>
  <si>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</si>
  <si>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</si>
  <si>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</si>
  <si>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</si>
  <si>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</si>
  <si>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</si>
  <si>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</si>
  <si>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</si>
  <si>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</si>
  <si>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</si>
  <si>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</si>
  <si>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</si>
  <si>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</si>
  <si>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</si>
  <si>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</si>
  <si>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</si>
  <si>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</si>
  <si>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</si>
  <si>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</si>
  <si>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</si>
  <si>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</si>
  <si>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</si>
  <si>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</si>
  <si>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</si>
  <si>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</si>
  <si>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</si>
  <si>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</si>
  <si>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</si>
  <si>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</si>
  <si>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</si>
  <si>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</si>
  <si>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</si>
  <si>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</si>
  <si>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</si>
  <si>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</si>
  <si>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</si>
  <si>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</si>
  <si>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</si>
  <si>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</si>
  <si>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</si>
  <si>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</si>
  <si>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</si>
  <si>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</si>
  <si>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</si>
  <si>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</si>
  <si>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</si>
  <si>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</si>
  <si>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</si>
  <si>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</si>
  <si>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</si>
  <si>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</si>
  <si>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</si>
  <si>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</si>
  <si>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</si>
  <si>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</si>
  <si>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</si>
  <si>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</si>
  <si>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</si>
  <si>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</si>
  <si>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</si>
  <si>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</si>
  <si>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</si>
  <si>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</si>
  <si>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</si>
  <si>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</si>
  <si>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</si>
  <si>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</si>
  <si>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</si>
  <si>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</si>
  <si>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</si>
  <si>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</si>
  <si>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</si>
  <si>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</si>
  <si>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</si>
  <si>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</si>
  <si>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</si>
  <si>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</si>
  <si>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</si>
  <si>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</si>
  <si>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</si>
  <si>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</si>
  <si>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</si>
  <si>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</si>
  <si>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</si>
  <si>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</si>
  <si>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</si>
  <si>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</si>
  <si>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</si>
  <si>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</si>
  <si>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</si>
  <si>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</si>
  <si>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</si>
  <si>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</si>
  <si>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</si>
  <si>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</si>
  <si>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</si>
  <si>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</si>
  <si>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</si>
  <si>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</si>
  <si>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</si>
  <si>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</si>
  <si>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</si>
  <si>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</si>
  <si>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</si>
  <si>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</si>
  <si>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</si>
  <si>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</si>
  <si>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</si>
  <si>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</si>
  <si>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</si>
  <si>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</si>
  <si>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</si>
  <si>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</si>
  <si>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</si>
  <si>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</si>
  <si>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</si>
  <si>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</si>
  <si>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</si>
  <si>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</si>
  <si>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</si>
  <si>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</si>
  <si>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</si>
  <si>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</si>
  <si>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</si>
  <si>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</si>
  <si>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</si>
  <si>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</si>
  <si>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</si>
  <si>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</si>
  <si>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</si>
  <si>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</si>
  <si>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</si>
  <si>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</si>
  <si>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</si>
  <si>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</si>
  <si>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</si>
  <si>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</si>
  <si>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</si>
  <si>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</si>
  <si>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</si>
  <si>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</si>
  <si>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</si>
  <si>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</si>
  <si>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</si>
  <si>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</si>
  <si>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</si>
  <si>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</si>
  <si>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</si>
  <si>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</si>
  <si>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</si>
  <si>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</si>
  <si>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</si>
  <si>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</si>
  <si>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</si>
  <si>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</si>
  <si>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</si>
  <si>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</si>
  <si>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</si>
  <si>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</si>
  <si>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</si>
  <si>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</si>
  <si>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</si>
  <si>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</si>
  <si>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</si>
  <si>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</si>
  <si>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</si>
  <si>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</si>
  <si>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</si>
  <si>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</si>
  <si>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</si>
  <si>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</si>
  <si>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</si>
  <si>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</si>
  <si>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</si>
  <si>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</si>
  <si>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</si>
  <si>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</si>
  <si>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</si>
  <si>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</si>
  <si>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</si>
  <si>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</si>
  <si>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</si>
  <si>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</si>
  <si>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</si>
  <si>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</si>
  <si>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Net Revenue</t>
  </si>
  <si>
    <t>The Learning Center @ The Els Center of Excl</t>
  </si>
  <si>
    <t>Somerset Academy Charter School</t>
  </si>
  <si>
    <t>Sports Leadership Academy (SLAM)</t>
  </si>
  <si>
    <t>Connections Education Center of the PBs</t>
  </si>
  <si>
    <t>BridgePrep Academy of Palm Beach</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</si>
  <si>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</si>
  <si>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</si>
  <si>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</si>
  <si>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</si>
  <si>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</si>
  <si>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</si>
  <si>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</si>
  <si>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</si>
  <si>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</si>
  <si>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</si>
  <si>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</si>
  <si>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</si>
  <si>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</si>
  <si>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</si>
  <si>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</si>
  <si>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</si>
  <si>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</si>
  <si>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</si>
  <si>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</si>
  <si>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</si>
  <si>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</si>
  <si>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</si>
  <si>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</si>
  <si>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</si>
  <si>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</si>
  <si>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</si>
  <si>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</si>
  <si>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</si>
  <si>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</si>
  <si>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</si>
  <si>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</si>
  <si>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</si>
  <si>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</si>
  <si>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</si>
  <si>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</si>
  <si>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</si>
  <si>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</si>
  <si>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</si>
  <si>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</si>
  <si>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</si>
  <si>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</si>
  <si>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</si>
  <si>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</si>
  <si>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</si>
  <si>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</si>
  <si>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</si>
  <si>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</si>
  <si>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</si>
  <si>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</si>
  <si>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</si>
  <si>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</si>
  <si>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</si>
  <si>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</si>
  <si>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</si>
  <si>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</si>
  <si>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</si>
  <si>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</si>
  <si>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</si>
  <si>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</si>
  <si>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</si>
  <si>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</si>
  <si>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</si>
  <si>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</si>
  <si>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</si>
  <si>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</si>
  <si>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</si>
  <si>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</si>
  <si>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</si>
  <si>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</si>
  <si>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</si>
  <si>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</si>
  <si>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</si>
  <si>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</si>
  <si>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</si>
  <si>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</si>
  <si>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</si>
  <si>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</si>
  <si>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</si>
  <si>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</si>
  <si>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</si>
  <si>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</si>
  <si>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</si>
  <si>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</si>
  <si>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</si>
  <si>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</si>
  <si>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</si>
  <si>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</si>
  <si>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</si>
  <si>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</si>
  <si>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</si>
  <si>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</si>
  <si>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</si>
  <si>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</si>
  <si>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</si>
  <si>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</si>
  <si>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</si>
  <si>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</si>
  <si>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</si>
  <si>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</si>
  <si>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</si>
  <si>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</si>
  <si>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</si>
  <si>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</si>
  <si>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</si>
  <si>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</si>
  <si>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</si>
  <si>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</si>
  <si>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</si>
  <si>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</si>
  <si>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</si>
  <si>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</si>
  <si>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</si>
  <si>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</si>
  <si>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</si>
  <si>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</si>
  <si>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</si>
  <si>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</si>
  <si>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</si>
  <si>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</si>
  <si>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</si>
  <si>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</si>
  <si>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</si>
  <si>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</si>
  <si>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</si>
  <si>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</si>
  <si>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</si>
  <si>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</si>
  <si>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</si>
  <si>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</si>
  <si>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</si>
  <si>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</si>
  <si>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</si>
  <si>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</si>
  <si>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</si>
  <si>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</si>
  <si>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</si>
  <si>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</si>
  <si>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</si>
  <si>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</si>
  <si>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</si>
  <si>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</si>
  <si>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</si>
  <si>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</si>
  <si>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</si>
  <si>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</si>
  <si>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</si>
  <si>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</si>
  <si>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</si>
  <si>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</si>
  <si>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</si>
  <si>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</si>
  <si>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</si>
  <si>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</si>
  <si>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</si>
  <si>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</si>
  <si>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</si>
  <si>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</si>
  <si>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</si>
  <si>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</si>
  <si>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</si>
  <si>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</si>
  <si>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</si>
  <si>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</si>
  <si>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</si>
  <si>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</si>
  <si>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</si>
  <si>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</si>
  <si>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</si>
  <si>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</si>
  <si>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</si>
  <si>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</si>
  <si>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</si>
  <si>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</si>
  <si>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</si>
  <si>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</si>
  <si>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</si>
  <si>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</si>
  <si>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</si>
  <si>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</si>
  <si>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</si>
  <si>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</si>
  <si>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</si>
  <si>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</si>
  <si>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</si>
  <si>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</si>
  <si>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</si>
  <si>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</si>
  <si>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</si>
  <si>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</si>
  <si>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</si>
  <si>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</si>
  <si>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</si>
  <si>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</si>
  <si>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</si>
  <si>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</si>
  <si>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</si>
  <si>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</si>
  <si>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</si>
  <si>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</si>
  <si>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</si>
  <si>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</si>
  <si>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</si>
  <si>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</si>
  <si>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</si>
  <si>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</si>
  <si>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</si>
  <si>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</si>
  <si>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</si>
  <si>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</si>
  <si>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</si>
  <si>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</si>
  <si>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WPB-281592</t>
  </si>
  <si>
    <t>WPB- 281736</t>
  </si>
  <si>
    <t>2024-25</t>
  </si>
  <si>
    <t>August 2024</t>
  </si>
  <si>
    <t>Based on the FLDOE 2024-25 Second Calculation</t>
  </si>
  <si>
    <t>Fred- Potentials and Seagull merged and is now operating under potentials only.  Need to adjust Sept. Payment</t>
  </si>
  <si>
    <t>Maintenance Portion (5.59% of Base Funding)</t>
  </si>
  <si>
    <t>Maintenance Portion (5.59% of Conference Funding)</t>
  </si>
  <si>
    <r>
      <rPr>
        <b/>
        <sz val="10"/>
        <color indexed="12"/>
        <rFont val="Calibri"/>
        <family val="2"/>
      </rPr>
      <t xml:space="preserve">September 2024 - </t>
    </r>
    <r>
      <rPr>
        <b/>
        <sz val="10"/>
        <rFont val="Calibri"/>
        <family val="2"/>
      </rPr>
      <t xml:space="preserve">FY </t>
    </r>
    <r>
      <rPr>
        <b/>
        <sz val="10"/>
        <color indexed="12"/>
        <rFont val="Calibri"/>
        <family val="2"/>
      </rPr>
      <t xml:space="preserve">2025 </t>
    </r>
    <r>
      <rPr>
        <b/>
        <sz val="10"/>
        <rFont val="Calibri"/>
        <family val="2"/>
      </rPr>
      <t>Charter School FTE Payment</t>
    </r>
  </si>
  <si>
    <t>September 2024</t>
  </si>
  <si>
    <t>R WPB-285642</t>
  </si>
  <si>
    <t>WPB-288120</t>
  </si>
  <si>
    <t>FEFP Adj</t>
  </si>
  <si>
    <t>FTE September 2024</t>
  </si>
  <si>
    <t>Growth Portion (1.07% of Base Funding)</t>
  </si>
  <si>
    <t>Growth Portion (1.07% of Conference Funding)</t>
  </si>
  <si>
    <t>1. The FLDOE released the Feb 2024 FTE Survey 3 report on 03/11/24. FTE counts from this report are used in</t>
  </si>
  <si>
    <t>the September 2024 payment calculations. This report has been uploaded to the District's Charter School Fiscal</t>
  </si>
  <si>
    <t>2. The FDOE has issued the 2024-25 2nd Calc Revenue Second Worksheet for Charter Schools,  which was used in the</t>
  </si>
  <si>
    <t xml:space="preserve">     September 2024 calculation,  FY 25.</t>
  </si>
  <si>
    <t xml:space="preserve"> This adjustment corrected the 1b Classroom Teacher &amp; Other Instructional Personnal Salary increase portion of the FEFP</t>
  </si>
  <si>
    <t xml:space="preserve">3.  For the month of September 2024, we made an FEFP adjustment related to 2024 July and August payments.  </t>
  </si>
  <si>
    <t xml:space="preserve"> calculation.</t>
  </si>
  <si>
    <t>4. Changes were made to three schools due to reflect new highly effective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</si>
</sst>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60"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4">
    <xf numFmtId="0" fontId="0"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165"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12" fillId="0" borderId="0"/>
    <xf numFmtId="9" fontId="3" fillId="0" borderId="0" applyFont="0" applyFill="0" applyBorder="0" applyAlignment="0" applyProtection="0"/>
    <xf numFmtId="9" fontId="12" fillId="0" borderId="0" applyFont="0" applyFill="0" applyBorder="0" applyAlignment="0" applyProtection="0"/>
    <xf numFmtId="0" fontId="2" fillId="0" borderId="0"/>
    <xf numFmtId="43" fontId="2" fillId="0" borderId="0" applyFont="0" applyFill="0" applyBorder="0" applyAlignment="0" applyProtection="0"/>
  </cellStyleXfs>
  <cellXfs count="691">
    <xf numFmtId="0" fontId="0" fillId="0" borderId="0" xfId="0"/>
    <xf numFmtId="0" fontId="13" fillId="0" borderId="0" xfId="0" quotePrefix="1" applyFont="1" applyAlignment="1">
      <alignment horizontal="left"/>
    </xf>
    <xf numFmtId="0" fontId="13" fillId="0" borderId="0" xfId="0" applyFont="1"/>
    <xf numFmtId="0" fontId="14" fillId="0" borderId="0" xfId="0" applyFont="1"/>
    <xf numFmtId="4" fontId="15" fillId="0" borderId="0" xfId="0" applyNumberFormat="1" applyFont="1"/>
    <xf numFmtId="4" fontId="15" fillId="2" borderId="0" xfId="0" applyNumberFormat="1" applyFont="1" applyFill="1"/>
    <xf numFmtId="4" fontId="15" fillId="2" borderId="0" xfId="0" applyNumberFormat="1" applyFont="1" applyFill="1" applyAlignment="1">
      <alignment horizontal="left"/>
    </xf>
    <xf numFmtId="0" fontId="16" fillId="0" borderId="0" xfId="0" applyFont="1" applyAlignment="1">
      <alignment horizontal="center"/>
    </xf>
    <xf numFmtId="7" fontId="17" fillId="0" borderId="0" xfId="0" applyNumberFormat="1" applyFont="1" applyAlignment="1">
      <alignment horizontal="center"/>
    </xf>
    <xf numFmtId="168" fontId="14" fillId="0" borderId="0" xfId="0" applyNumberFormat="1" applyFont="1" applyAlignment="1">
      <alignment wrapText="1"/>
    </xf>
    <xf numFmtId="4" fontId="14" fillId="0" borderId="0" xfId="0" applyNumberFormat="1" applyFont="1" applyAlignment="1">
      <alignment horizontal="center" wrapText="1"/>
    </xf>
    <xf numFmtId="164" fontId="14" fillId="0" borderId="0" xfId="6" applyFont="1" applyBorder="1" applyAlignment="1">
      <alignment horizontal="center" wrapText="1"/>
    </xf>
    <xf numFmtId="0" fontId="16" fillId="2" borderId="0" xfId="0" applyFont="1" applyFill="1" applyAlignment="1">
      <alignment horizontal="center"/>
    </xf>
    <xf numFmtId="7" fontId="17" fillId="2" borderId="0" xfId="0" applyNumberFormat="1" applyFont="1" applyFill="1" applyAlignment="1">
      <alignment horizontal="center"/>
    </xf>
    <xf numFmtId="168" fontId="14" fillId="2" borderId="0" xfId="0" applyNumberFormat="1" applyFont="1" applyFill="1" applyAlignment="1">
      <alignment wrapText="1"/>
    </xf>
    <xf numFmtId="4" fontId="14" fillId="2" borderId="0" xfId="0" applyNumberFormat="1" applyFont="1" applyFill="1" applyAlignment="1">
      <alignment horizontal="center" wrapText="1"/>
    </xf>
    <xf numFmtId="164" fontId="14" fillId="2" borderId="0" xfId="6" applyFont="1" applyFill="1" applyBorder="1" applyAlignment="1">
      <alignment horizontal="center" wrapText="1"/>
    </xf>
    <xf numFmtId="4" fontId="14" fillId="0" borderId="1" xfId="0" applyNumberFormat="1" applyFont="1" applyBorder="1" applyAlignment="1">
      <alignment horizontal="center" wrapText="1"/>
    </xf>
    <xf numFmtId="4" fontId="14" fillId="2" borderId="1" xfId="0" applyNumberFormat="1" applyFont="1" applyFill="1" applyBorder="1" applyAlignment="1">
      <alignment horizontal="center" wrapText="1"/>
    </xf>
    <xf numFmtId="164" fontId="18" fillId="2" borderId="1" xfId="6" applyFont="1" applyFill="1" applyBorder="1" applyAlignment="1">
      <alignment horizontal="center" wrapText="1"/>
    </xf>
    <xf numFmtId="4" fontId="14" fillId="0" borderId="1" xfId="0" quotePrefix="1" applyNumberFormat="1" applyFont="1" applyBorder="1" applyAlignment="1">
      <alignment horizontal="center"/>
    </xf>
    <xf numFmtId="164" fontId="14" fillId="0" borderId="1" xfId="6" quotePrefix="1" applyFont="1" applyBorder="1" applyAlignment="1">
      <alignment horizontal="center"/>
    </xf>
    <xf numFmtId="4" fontId="14" fillId="2" borderId="1" xfId="0" quotePrefix="1" applyNumberFormat="1" applyFont="1" applyFill="1" applyBorder="1" applyAlignment="1">
      <alignment horizontal="center"/>
    </xf>
    <xf numFmtId="164" fontId="14" fillId="2" borderId="1" xfId="6" quotePrefix="1" applyFont="1" applyFill="1" applyBorder="1" applyAlignment="1">
      <alignment horizontal="center"/>
    </xf>
    <xf numFmtId="170" fontId="14" fillId="0" borderId="0" xfId="6" applyNumberFormat="1" applyFont="1" applyBorder="1" applyAlignment="1">
      <alignment horizontal="center"/>
    </xf>
    <xf numFmtId="170" fontId="14" fillId="2" borderId="0" xfId="6" applyNumberFormat="1" applyFont="1" applyFill="1" applyBorder="1" applyAlignment="1">
      <alignment horizontal="center"/>
    </xf>
    <xf numFmtId="0" fontId="14" fillId="0" borderId="0" xfId="0" applyFont="1" applyAlignment="1">
      <alignment horizontal="right"/>
    </xf>
    <xf numFmtId="2" fontId="14" fillId="0" borderId="0" xfId="0" applyNumberFormat="1" applyFont="1" applyAlignment="1">
      <alignment horizontal="center"/>
    </xf>
    <xf numFmtId="0" fontId="14" fillId="2" borderId="0" xfId="0" applyFont="1" applyFill="1" applyAlignment="1">
      <alignment horizontal="right"/>
    </xf>
    <xf numFmtId="2" fontId="19" fillId="2" borderId="0" xfId="0" applyNumberFormat="1" applyFont="1" applyFill="1" applyAlignment="1">
      <alignment horizontal="center"/>
    </xf>
    <xf numFmtId="2" fontId="14" fillId="2" borderId="0" xfId="0" applyNumberFormat="1" applyFont="1" applyFill="1" applyAlignment="1">
      <alignment horizontal="center"/>
    </xf>
    <xf numFmtId="164" fontId="18" fillId="0" borderId="1" xfId="6" applyFont="1" applyBorder="1" applyAlignment="1">
      <alignment horizontal="center" wrapText="1"/>
    </xf>
    <xf numFmtId="169" fontId="14" fillId="0" borderId="0" xfId="0" applyNumberFormat="1" applyFont="1" applyAlignment="1">
      <alignment horizontal="right"/>
    </xf>
    <xf numFmtId="169" fontId="14" fillId="2" borderId="0" xfId="0" applyNumberFormat="1" applyFont="1" applyFill="1" applyAlignment="1">
      <alignment horizontal="right"/>
    </xf>
    <xf numFmtId="169" fontId="19" fillId="0" borderId="0" xfId="0" applyNumberFormat="1" applyFont="1" applyAlignment="1">
      <alignment horizontal="right"/>
    </xf>
    <xf numFmtId="169" fontId="19" fillId="2" borderId="0" xfId="0" applyNumberFormat="1" applyFont="1" applyFill="1" applyAlignment="1">
      <alignment horizontal="right"/>
    </xf>
    <xf numFmtId="0" fontId="14" fillId="0" borderId="1" xfId="0" applyFont="1" applyBorder="1"/>
    <xf numFmtId="0" fontId="14" fillId="0" borderId="0" xfId="0" applyFont="1" applyAlignment="1">
      <alignment horizontal="center"/>
    </xf>
    <xf numFmtId="0" fontId="14" fillId="2" borderId="0" xfId="0" applyFont="1" applyFill="1" applyAlignment="1">
      <alignment horizontal="center"/>
    </xf>
    <xf numFmtId="0" fontId="14" fillId="0" borderId="0" xfId="0" quotePrefix="1" applyFont="1" applyAlignment="1">
      <alignment horizontal="center"/>
    </xf>
    <xf numFmtId="0" fontId="14" fillId="2" borderId="0" xfId="0" quotePrefix="1" applyFont="1" applyFill="1" applyAlignment="1">
      <alignment horizontal="center"/>
    </xf>
    <xf numFmtId="4" fontId="19" fillId="2" borderId="1" xfId="0" applyNumberFormat="1" applyFont="1" applyFill="1" applyBorder="1" applyAlignment="1">
      <alignment horizontal="center"/>
    </xf>
    <xf numFmtId="0" fontId="16" fillId="0" borderId="0" xfId="0" quotePrefix="1" applyFont="1" applyAlignment="1">
      <alignment horizontal="center"/>
    </xf>
    <xf numFmtId="4" fontId="14" fillId="0" borderId="0" xfId="0" quotePrefix="1" applyNumberFormat="1" applyFont="1" applyAlignment="1">
      <alignment horizontal="center"/>
    </xf>
    <xf numFmtId="4" fontId="14" fillId="2" borderId="0" xfId="0" quotePrefix="1" applyNumberFormat="1" applyFont="1" applyFill="1" applyAlignment="1">
      <alignment horizontal="center"/>
    </xf>
    <xf numFmtId="0" fontId="14" fillId="2" borderId="0" xfId="0" applyFont="1" applyFill="1" applyAlignment="1">
      <alignment horizontal="left"/>
    </xf>
    <xf numFmtId="169" fontId="14" fillId="0" borderId="0" xfId="0" applyNumberFormat="1" applyFont="1" applyAlignment="1">
      <alignment horizontal="center"/>
    </xf>
    <xf numFmtId="169" fontId="14" fillId="2" borderId="0" xfId="0" applyNumberFormat="1" applyFont="1" applyFill="1" applyAlignment="1">
      <alignment horizontal="center"/>
    </xf>
    <xf numFmtId="4" fontId="14" fillId="2" borderId="0" xfId="0" applyNumberFormat="1" applyFont="1" applyFill="1" applyAlignment="1">
      <alignment horizontal="center"/>
    </xf>
    <xf numFmtId="16" fontId="14" fillId="0" borderId="0" xfId="0" quotePrefix="1" applyNumberFormat="1" applyFont="1" applyAlignment="1">
      <alignment horizontal="right"/>
    </xf>
    <xf numFmtId="16" fontId="14" fillId="2" borderId="0" xfId="0" quotePrefix="1" applyNumberFormat="1" applyFont="1" applyFill="1" applyAlignment="1">
      <alignment horizontal="right"/>
    </xf>
    <xf numFmtId="0" fontId="14" fillId="2" borderId="0" xfId="0" applyFont="1" applyFill="1"/>
    <xf numFmtId="0" fontId="14" fillId="0" borderId="0" xfId="0" quotePrefix="1" applyFont="1" applyAlignment="1">
      <alignment horizontal="right"/>
    </xf>
    <xf numFmtId="0" fontId="14" fillId="2" borderId="0" xfId="0" quotePrefix="1" applyFont="1" applyFill="1" applyAlignment="1">
      <alignment horizontal="right"/>
    </xf>
    <xf numFmtId="169" fontId="14" fillId="2" borderId="2" xfId="0" applyNumberFormat="1" applyFont="1" applyFill="1" applyBorder="1" applyAlignment="1">
      <alignment horizontal="center"/>
    </xf>
    <xf numFmtId="165" fontId="14" fillId="0" borderId="0" xfId="4" applyFont="1" applyBorder="1" applyAlignment="1">
      <alignment horizontal="right"/>
    </xf>
    <xf numFmtId="165" fontId="14" fillId="2" borderId="0" xfId="4" applyFont="1" applyFill="1" applyBorder="1" applyAlignment="1">
      <alignment horizontal="right"/>
    </xf>
    <xf numFmtId="169" fontId="14" fillId="2" borderId="3" xfId="0" applyNumberFormat="1" applyFont="1" applyFill="1" applyBorder="1" applyAlignment="1">
      <alignment horizontal="center"/>
    </xf>
    <xf numFmtId="38" fontId="14" fillId="2" borderId="0" xfId="0" quotePrefix="1" applyNumberFormat="1" applyFont="1" applyFill="1"/>
    <xf numFmtId="0" fontId="14" fillId="0" borderId="1" xfId="0" applyFont="1" applyBorder="1" applyAlignment="1">
      <alignment horizontal="center"/>
    </xf>
    <xf numFmtId="0" fontId="14" fillId="2" borderId="1" xfId="0" applyFont="1" applyFill="1" applyBorder="1" applyAlignment="1">
      <alignment horizontal="center"/>
    </xf>
    <xf numFmtId="7" fontId="14" fillId="3" borderId="0" xfId="0" applyNumberFormat="1" applyFont="1" applyFill="1"/>
    <xf numFmtId="7" fontId="14" fillId="2" borderId="0" xfId="0" applyNumberFormat="1" applyFont="1" applyFill="1"/>
    <xf numFmtId="7" fontId="14" fillId="3" borderId="1" xfId="0" applyNumberFormat="1" applyFont="1" applyFill="1" applyBorder="1"/>
    <xf numFmtId="7" fontId="14" fillId="2" borderId="1" xfId="0" applyNumberFormat="1" applyFont="1" applyFill="1" applyBorder="1"/>
    <xf numFmtId="0" fontId="20" fillId="0" borderId="0" xfId="0" applyFont="1"/>
    <xf numFmtId="0" fontId="20" fillId="2" borderId="0" xfId="0" applyFont="1" applyFill="1"/>
    <xf numFmtId="170" fontId="14" fillId="2" borderId="3" xfId="0" applyNumberFormat="1" applyFont="1" applyFill="1" applyBorder="1"/>
    <xf numFmtId="3" fontId="14" fillId="0" borderId="0" xfId="0" quotePrefix="1" applyNumberFormat="1" applyFont="1" applyAlignment="1">
      <alignment horizontal="center"/>
    </xf>
    <xf numFmtId="0" fontId="14" fillId="0" borderId="0" xfId="0" applyFont="1" applyAlignment="1">
      <alignment horizontal="left"/>
    </xf>
    <xf numFmtId="0" fontId="20" fillId="4" borderId="4" xfId="0" applyFont="1" applyFill="1" applyBorder="1" applyAlignment="1">
      <alignment horizontal="center"/>
    </xf>
    <xf numFmtId="0" fontId="18" fillId="2" borderId="0" xfId="0" applyFont="1" applyFill="1"/>
    <xf numFmtId="0" fontId="18" fillId="2" borderId="0" xfId="0" quotePrefix="1" applyFont="1" applyFill="1" applyAlignment="1">
      <alignment horizontal="left"/>
    </xf>
    <xf numFmtId="0" fontId="18" fillId="0" borderId="0" xfId="0" applyFont="1" applyAlignment="1">
      <alignment horizontal="left"/>
    </xf>
    <xf numFmtId="171" fontId="14" fillId="0" borderId="0" xfId="0" applyNumberFormat="1" applyFont="1" applyAlignment="1">
      <alignment horizontal="left"/>
    </xf>
    <xf numFmtId="169" fontId="16" fillId="0" borderId="0" xfId="0" applyNumberFormat="1" applyFont="1"/>
    <xf numFmtId="0" fontId="14" fillId="0" borderId="0" xfId="0" applyFont="1" applyAlignment="1">
      <alignment vertical="center"/>
    </xf>
    <xf numFmtId="170" fontId="14" fillId="0" borderId="0" xfId="0" applyNumberFormat="1" applyFont="1" applyAlignment="1">
      <alignment vertical="center"/>
    </xf>
    <xf numFmtId="171" fontId="14" fillId="0" borderId="0" xfId="0" applyNumberFormat="1" applyFont="1" applyAlignment="1">
      <alignment horizontal="left" vertical="center"/>
    </xf>
    <xf numFmtId="0" fontId="16" fillId="0" borderId="0" xfId="0" applyFont="1" applyAlignment="1">
      <alignment vertical="center"/>
    </xf>
    <xf numFmtId="172" fontId="14" fillId="0" borderId="0" xfId="0" applyNumberFormat="1" applyFont="1"/>
    <xf numFmtId="0" fontId="14" fillId="0" borderId="0" xfId="0" quotePrefix="1" applyFont="1" applyAlignment="1">
      <alignment horizontal="left"/>
    </xf>
    <xf numFmtId="0" fontId="21" fillId="0" borderId="3" xfId="0" applyFont="1" applyBorder="1"/>
    <xf numFmtId="4" fontId="14" fillId="2" borderId="0" xfId="0" applyNumberFormat="1" applyFont="1" applyFill="1" applyAlignment="1">
      <alignment horizontal="left"/>
    </xf>
    <xf numFmtId="0" fontId="16" fillId="0" borderId="0" xfId="0" quotePrefix="1" applyFont="1"/>
    <xf numFmtId="0" fontId="16" fillId="0" borderId="0" xfId="0" quotePrefix="1" applyFont="1" applyAlignment="1">
      <alignment horizontal="right"/>
    </xf>
    <xf numFmtId="49" fontId="16" fillId="0" borderId="0" xfId="0" applyNumberFormat="1" applyFont="1"/>
    <xf numFmtId="49" fontId="16" fillId="0" borderId="0" xfId="0" applyNumberFormat="1" applyFont="1" applyProtection="1">
      <protection locked="0"/>
    </xf>
    <xf numFmtId="7" fontId="20" fillId="0" borderId="0" xfId="0" quotePrefix="1" applyNumberFormat="1" applyFont="1" applyAlignment="1">
      <alignment horizontal="center"/>
    </xf>
    <xf numFmtId="7" fontId="20" fillId="0" borderId="0" xfId="0" applyNumberFormat="1" applyFont="1" applyAlignment="1">
      <alignment horizontal="center"/>
    </xf>
    <xf numFmtId="0" fontId="20" fillId="0" borderId="1" xfId="0" applyFont="1" applyBorder="1" applyAlignment="1">
      <alignment horizontal="center"/>
    </xf>
    <xf numFmtId="0" fontId="21" fillId="0" borderId="1" xfId="0" quotePrefix="1" applyFont="1" applyBorder="1"/>
    <xf numFmtId="0" fontId="14" fillId="0" borderId="1" xfId="0" quotePrefix="1" applyFont="1" applyBorder="1" applyAlignment="1">
      <alignment horizontal="center"/>
    </xf>
    <xf numFmtId="172" fontId="14" fillId="0" borderId="1" xfId="0" applyNumberFormat="1" applyFont="1" applyBorder="1"/>
    <xf numFmtId="43" fontId="14" fillId="0" borderId="1" xfId="1" applyFont="1" applyBorder="1" applyAlignment="1"/>
    <xf numFmtId="167" fontId="14" fillId="2" borderId="1" xfId="0" applyNumberFormat="1" applyFont="1" applyFill="1" applyBorder="1"/>
    <xf numFmtId="170" fontId="14" fillId="2" borderId="1" xfId="6" applyNumberFormat="1" applyFont="1" applyFill="1" applyBorder="1" applyAlignment="1"/>
    <xf numFmtId="43" fontId="14" fillId="0" borderId="5" xfId="1" applyFont="1" applyBorder="1" applyAlignment="1"/>
    <xf numFmtId="170" fontId="14" fillId="2" borderId="5" xfId="6" applyNumberFormat="1" applyFont="1" applyFill="1" applyBorder="1" applyAlignment="1"/>
    <xf numFmtId="172" fontId="14" fillId="0" borderId="5" xfId="0" applyNumberFormat="1" applyFont="1" applyBorder="1"/>
    <xf numFmtId="169" fontId="14" fillId="2" borderId="5" xfId="0" applyNumberFormat="1" applyFont="1" applyFill="1" applyBorder="1"/>
    <xf numFmtId="43" fontId="14" fillId="0" borderId="0" xfId="1" applyFont="1" applyBorder="1" applyAlignment="1"/>
    <xf numFmtId="169" fontId="14" fillId="2" borderId="0" xfId="0" applyNumberFormat="1" applyFont="1" applyFill="1"/>
    <xf numFmtId="170" fontId="14" fillId="2" borderId="0" xfId="6" applyNumberFormat="1" applyFont="1" applyFill="1" applyBorder="1" applyAlignment="1"/>
    <xf numFmtId="169" fontId="14" fillId="0" borderId="0" xfId="0" applyNumberFormat="1" applyFont="1"/>
    <xf numFmtId="2" fontId="20" fillId="0" borderId="1" xfId="0" applyNumberFormat="1" applyFont="1" applyBorder="1"/>
    <xf numFmtId="2" fontId="14" fillId="0" borderId="0" xfId="0" applyNumberFormat="1" applyFont="1"/>
    <xf numFmtId="2" fontId="14" fillId="0" borderId="0" xfId="0" quotePrefix="1" applyNumberFormat="1" applyFont="1" applyAlignment="1">
      <alignment horizontal="right"/>
    </xf>
    <xf numFmtId="170" fontId="14" fillId="2" borderId="3" xfId="6" applyNumberFormat="1" applyFont="1" applyFill="1" applyBorder="1" applyAlignment="1"/>
    <xf numFmtId="2" fontId="14" fillId="0" borderId="0" xfId="0" quotePrefix="1" applyNumberFormat="1" applyFont="1" applyAlignment="1">
      <alignment horizontal="center"/>
    </xf>
    <xf numFmtId="43" fontId="22" fillId="4" borderId="1" xfId="1" applyFont="1" applyFill="1" applyBorder="1" applyAlignment="1"/>
    <xf numFmtId="43" fontId="14" fillId="0" borderId="6" xfId="1" applyFont="1" applyBorder="1" applyAlignment="1"/>
    <xf numFmtId="43" fontId="19" fillId="0" borderId="1" xfId="1" applyFont="1" applyBorder="1" applyAlignment="1">
      <alignment horizontal="center"/>
    </xf>
    <xf numFmtId="4" fontId="23" fillId="0" borderId="0" xfId="0" applyNumberFormat="1" applyFont="1"/>
    <xf numFmtId="166" fontId="19" fillId="0" borderId="0" xfId="0" applyNumberFormat="1" applyFont="1" applyAlignment="1">
      <alignment horizontal="center"/>
    </xf>
    <xf numFmtId="166" fontId="19" fillId="0" borderId="0" xfId="0" applyNumberFormat="1" applyFont="1"/>
    <xf numFmtId="43" fontId="14" fillId="0" borderId="0" xfId="1" applyFont="1" applyFill="1" applyBorder="1" applyAlignment="1"/>
    <xf numFmtId="41" fontId="14" fillId="0" borderId="0" xfId="1" applyNumberFormat="1" applyFont="1" applyFill="1" applyBorder="1" applyAlignment="1"/>
    <xf numFmtId="0" fontId="23" fillId="0" borderId="0" xfId="0" applyFont="1"/>
    <xf numFmtId="0" fontId="23" fillId="0" borderId="0" xfId="0" quotePrefix="1" applyFont="1" applyAlignment="1">
      <alignment horizontal="left"/>
    </xf>
    <xf numFmtId="4" fontId="14" fillId="0" borderId="1" xfId="0" applyNumberFormat="1" applyFont="1" applyBorder="1" applyAlignment="1">
      <alignment horizontal="center"/>
    </xf>
    <xf numFmtId="4" fontId="14" fillId="0" borderId="0" xfId="0" applyNumberFormat="1" applyFont="1"/>
    <xf numFmtId="165" fontId="14" fillId="0" borderId="0" xfId="4" quotePrefix="1" applyFont="1" applyBorder="1" applyAlignment="1">
      <alignment horizontal="right"/>
    </xf>
    <xf numFmtId="165" fontId="14" fillId="0" borderId="0" xfId="4" applyFont="1" applyBorder="1" applyAlignment="1"/>
    <xf numFmtId="165" fontId="14" fillId="0" borderId="7" xfId="4" quotePrefix="1" applyFont="1" applyBorder="1" applyAlignment="1">
      <alignment horizontal="right"/>
    </xf>
    <xf numFmtId="4" fontId="14" fillId="2" borderId="0" xfId="0" quotePrefix="1" applyNumberFormat="1" applyFont="1" applyFill="1" applyAlignment="1">
      <alignment horizontal="left"/>
    </xf>
    <xf numFmtId="4" fontId="14" fillId="0" borderId="0" xfId="0" applyNumberFormat="1" applyFont="1" applyAlignment="1">
      <alignment horizontal="center"/>
    </xf>
    <xf numFmtId="0" fontId="20" fillId="0" borderId="0" xfId="0" applyFont="1" applyAlignment="1">
      <alignment horizontal="right"/>
    </xf>
    <xf numFmtId="4" fontId="14" fillId="0" borderId="0" xfId="0" applyNumberFormat="1" applyFont="1" applyAlignment="1">
      <alignment horizontal="left"/>
    </xf>
    <xf numFmtId="38" fontId="14" fillId="0" borderId="0" xfId="0" quotePrefix="1" applyNumberFormat="1" applyFont="1"/>
    <xf numFmtId="0" fontId="20" fillId="2" borderId="0" xfId="0" applyFont="1" applyFill="1" applyAlignment="1">
      <alignment horizontal="right"/>
    </xf>
    <xf numFmtId="0" fontId="20" fillId="2" borderId="0" xfId="0" applyFont="1" applyFill="1" applyAlignment="1">
      <alignment horizontal="center"/>
    </xf>
    <xf numFmtId="170" fontId="14" fillId="2" borderId="8" xfId="0" applyNumberFormat="1" applyFont="1" applyFill="1" applyBorder="1"/>
    <xf numFmtId="43" fontId="14" fillId="0" borderId="8" xfId="1" applyFont="1" applyBorder="1" applyAlignment="1"/>
    <xf numFmtId="170" fontId="14" fillId="0" borderId="0" xfId="0" applyNumberFormat="1" applyFont="1"/>
    <xf numFmtId="0" fontId="16" fillId="0" borderId="0" xfId="0" applyFont="1"/>
    <xf numFmtId="43" fontId="14" fillId="4" borderId="1" xfId="1" applyFont="1" applyFill="1" applyBorder="1" applyAlignment="1"/>
    <xf numFmtId="7" fontId="14" fillId="0" borderId="0" xfId="0" applyNumberFormat="1" applyFont="1" applyAlignment="1">
      <alignment horizontal="center"/>
    </xf>
    <xf numFmtId="170" fontId="14"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4" fillId="4" borderId="6" xfId="1" applyFont="1" applyFill="1" applyBorder="1" applyAlignment="1"/>
    <xf numFmtId="43" fontId="22" fillId="4" borderId="0" xfId="1" applyFont="1" applyFill="1" applyBorder="1" applyAlignment="1"/>
    <xf numFmtId="43" fontId="14" fillId="4" borderId="0" xfId="1" applyFont="1" applyFill="1" applyBorder="1" applyAlignment="1"/>
    <xf numFmtId="172" fontId="14" fillId="0" borderId="6" xfId="0" applyNumberFormat="1" applyFont="1" applyBorder="1"/>
    <xf numFmtId="0" fontId="14" fillId="0" borderId="0" xfId="0" applyFont="1" applyAlignment="1">
      <alignment horizontal="left" indent="1"/>
    </xf>
    <xf numFmtId="43" fontId="26" fillId="4" borderId="6" xfId="1" applyFont="1" applyFill="1" applyBorder="1" applyAlignment="1"/>
    <xf numFmtId="4" fontId="20"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20" fillId="0" borderId="0" xfId="0" applyNumberFormat="1" applyFont="1"/>
    <xf numFmtId="173" fontId="14" fillId="0" borderId="9" xfId="1" applyNumberFormat="1" applyFont="1" applyBorder="1" applyAlignment="1"/>
    <xf numFmtId="41" fontId="14" fillId="0" borderId="0" xfId="1" applyNumberFormat="1" applyFont="1" applyBorder="1" applyAlignment="1"/>
    <xf numFmtId="43" fontId="14" fillId="0" borderId="1" xfId="1" applyFont="1" applyFill="1" applyBorder="1" applyAlignment="1"/>
    <xf numFmtId="43" fontId="14" fillId="5" borderId="8" xfId="1" applyFont="1" applyFill="1" applyBorder="1" applyAlignment="1"/>
    <xf numFmtId="0" fontId="14" fillId="0" borderId="0" xfId="0" applyFont="1" applyAlignment="1">
      <alignment horizontal="left" indent="2"/>
    </xf>
    <xf numFmtId="0" fontId="14" fillId="0" borderId="0" xfId="7" applyFont="1"/>
    <xf numFmtId="0" fontId="27" fillId="0" borderId="0" xfId="9" applyFont="1"/>
    <xf numFmtId="0" fontId="22" fillId="0" borderId="10" xfId="9" applyFont="1" applyBorder="1" applyAlignment="1">
      <alignment horizontal="right"/>
    </xf>
    <xf numFmtId="0" fontId="20" fillId="0" borderId="11" xfId="9" applyFont="1" applyBorder="1"/>
    <xf numFmtId="0" fontId="14" fillId="0" borderId="0" xfId="9" applyFont="1"/>
    <xf numFmtId="0" fontId="28" fillId="0" borderId="0" xfId="9" applyFont="1"/>
    <xf numFmtId="0" fontId="20"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20" fillId="0" borderId="1" xfId="3" applyFont="1" applyBorder="1"/>
    <xf numFmtId="9" fontId="16" fillId="0" borderId="1" xfId="11" applyFont="1" applyBorder="1"/>
    <xf numFmtId="43" fontId="16" fillId="0" borderId="1" xfId="3" applyFont="1" applyBorder="1"/>
    <xf numFmtId="49" fontId="13" fillId="0" borderId="0" xfId="9" quotePrefix="1" applyNumberFormat="1" applyFont="1" applyAlignment="1">
      <alignment horizontal="left"/>
    </xf>
    <xf numFmtId="0" fontId="14"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4"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20"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4" fillId="0" borderId="6" xfId="1" applyFont="1" applyFill="1" applyBorder="1" applyAlignment="1"/>
    <xf numFmtId="0" fontId="17" fillId="0" borderId="0" xfId="0" applyFont="1"/>
    <xf numFmtId="0" fontId="17" fillId="0" borderId="0" xfId="0" applyFont="1" applyAlignment="1">
      <alignment horizontal="left"/>
    </xf>
    <xf numFmtId="1" fontId="17" fillId="0" borderId="0" xfId="0" applyNumberFormat="1" applyFont="1" applyAlignment="1">
      <alignment horizontal="center"/>
    </xf>
    <xf numFmtId="0" fontId="17" fillId="0" borderId="0" xfId="0" applyFont="1" applyAlignment="1">
      <alignment horizontal="center"/>
    </xf>
    <xf numFmtId="1" fontId="18" fillId="0" borderId="4" xfId="0" applyNumberFormat="1" applyFont="1" applyBorder="1" applyAlignment="1">
      <alignment horizontal="center"/>
    </xf>
    <xf numFmtId="0" fontId="18" fillId="0" borderId="10" xfId="0" applyFont="1" applyBorder="1" applyAlignment="1">
      <alignment horizontal="center"/>
    </xf>
    <xf numFmtId="0" fontId="18" fillId="0" borderId="0" xfId="0" applyFont="1" applyAlignment="1">
      <alignment horizontal="center"/>
    </xf>
    <xf numFmtId="1" fontId="17" fillId="0" borderId="0" xfId="7" applyNumberFormat="1" applyFont="1" applyAlignment="1">
      <alignment horizontal="center"/>
    </xf>
    <xf numFmtId="0" fontId="17" fillId="0" borderId="0" xfId="0" quotePrefix="1" applyFont="1"/>
    <xf numFmtId="43" fontId="17" fillId="0" borderId="0" xfId="7" applyNumberFormat="1" applyFont="1"/>
    <xf numFmtId="0" fontId="18" fillId="4" borderId="0" xfId="0" applyFont="1" applyFill="1" applyAlignment="1">
      <alignment horizontal="center"/>
    </xf>
    <xf numFmtId="1" fontId="17" fillId="4" borderId="0" xfId="7" applyNumberFormat="1" applyFont="1" applyFill="1" applyAlignment="1">
      <alignment horizontal="center"/>
    </xf>
    <xf numFmtId="43" fontId="17" fillId="4" borderId="0" xfId="7" applyNumberFormat="1" applyFont="1" applyFill="1"/>
    <xf numFmtId="43" fontId="17" fillId="0" borderId="0" xfId="0" applyNumberFormat="1" applyFont="1"/>
    <xf numFmtId="43" fontId="17" fillId="0" borderId="9" xfId="0" applyNumberFormat="1" applyFont="1" applyBorder="1"/>
    <xf numFmtId="49" fontId="18" fillId="0" borderId="0" xfId="2" quotePrefix="1" applyNumberFormat="1" applyFont="1" applyAlignment="1">
      <alignment horizontal="left"/>
    </xf>
    <xf numFmtId="0" fontId="18" fillId="0" borderId="0" xfId="7" applyFont="1"/>
    <xf numFmtId="49" fontId="18" fillId="0" borderId="0" xfId="7" applyNumberFormat="1" applyFont="1" applyAlignment="1">
      <alignment horizontal="left"/>
    </xf>
    <xf numFmtId="49" fontId="18" fillId="0" borderId="0" xfId="2" applyNumberFormat="1" applyFont="1" applyAlignment="1">
      <alignment horizontal="left"/>
    </xf>
    <xf numFmtId="49" fontId="18" fillId="0" borderId="4" xfId="7" quotePrefix="1" applyNumberFormat="1" applyFont="1" applyBorder="1" applyAlignment="1">
      <alignment horizontal="center"/>
    </xf>
    <xf numFmtId="0" fontId="18"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7" fillId="0" borderId="0" xfId="7" applyFont="1"/>
    <xf numFmtId="49" fontId="29" fillId="0" borderId="0" xfId="7" applyNumberFormat="1" applyFont="1" applyAlignment="1">
      <alignment horizontal="center" vertical="center"/>
    </xf>
    <xf numFmtId="0" fontId="17" fillId="0" borderId="0" xfId="7" quotePrefix="1" applyFont="1" applyAlignment="1">
      <alignment horizontal="left"/>
    </xf>
    <xf numFmtId="176" fontId="17" fillId="0" borderId="0" xfId="0" applyNumberFormat="1" applyFont="1"/>
    <xf numFmtId="1" fontId="18" fillId="0" borderId="0" xfId="0" quotePrefix="1" applyNumberFormat="1" applyFont="1"/>
    <xf numFmtId="1" fontId="17" fillId="0" borderId="0" xfId="0" applyNumberFormat="1" applyFont="1"/>
    <xf numFmtId="1" fontId="17" fillId="0" borderId="0" xfId="7" applyNumberFormat="1" applyFont="1"/>
    <xf numFmtId="1" fontId="17" fillId="4" borderId="0" xfId="7" applyNumberFormat="1" applyFont="1" applyFill="1"/>
    <xf numFmtId="1" fontId="18" fillId="0" borderId="10" xfId="0" applyNumberFormat="1" applyFont="1" applyBorder="1" applyAlignment="1">
      <alignment horizontal="center"/>
    </xf>
    <xf numFmtId="7" fontId="16" fillId="0" borderId="0" xfId="0" applyNumberFormat="1" applyFont="1" applyAlignment="1">
      <alignment horizontal="left"/>
    </xf>
    <xf numFmtId="169" fontId="16" fillId="0" borderId="0" xfId="0" applyNumberFormat="1" applyFont="1" applyAlignment="1">
      <alignment horizontal="center"/>
    </xf>
    <xf numFmtId="7" fontId="14" fillId="0" borderId="0" xfId="0" applyNumberFormat="1" applyFont="1"/>
    <xf numFmtId="7" fontId="14" fillId="0" borderId="1" xfId="0" applyNumberFormat="1" applyFont="1" applyBorder="1"/>
    <xf numFmtId="4" fontId="14" fillId="0" borderId="2" xfId="0" applyNumberFormat="1" applyFont="1" applyBorder="1"/>
    <xf numFmtId="4" fontId="15" fillId="0" borderId="2" xfId="0" applyNumberFormat="1" applyFont="1" applyBorder="1" applyAlignment="1">
      <alignment horizontal="left"/>
    </xf>
    <xf numFmtId="4" fontId="15" fillId="0" borderId="2" xfId="0" applyNumberFormat="1" applyFont="1" applyBorder="1"/>
    <xf numFmtId="1" fontId="17" fillId="4" borderId="0" xfId="7" applyNumberFormat="1" applyFont="1" applyFill="1" applyAlignment="1">
      <alignment horizontal="left" indent="1"/>
    </xf>
    <xf numFmtId="0" fontId="18" fillId="0" borderId="0" xfId="0" quotePrefix="1" applyFont="1" applyAlignment="1">
      <alignment horizontal="center"/>
    </xf>
    <xf numFmtId="1" fontId="17" fillId="0" borderId="0" xfId="7" applyNumberFormat="1" applyFont="1" applyAlignment="1">
      <alignment horizontal="left" indent="1"/>
    </xf>
    <xf numFmtId="0" fontId="17" fillId="0" borderId="0" xfId="0" quotePrefix="1" applyFont="1" applyAlignment="1">
      <alignment horizontal="left" indent="1"/>
    </xf>
    <xf numFmtId="0" fontId="17" fillId="4" borderId="0" xfId="0" quotePrefix="1" applyFont="1" applyFill="1" applyAlignment="1">
      <alignment horizontal="left" indent="1"/>
    </xf>
    <xf numFmtId="0" fontId="18" fillId="0" borderId="4" xfId="0" applyFont="1" applyBorder="1" applyAlignment="1">
      <alignment horizontal="center"/>
    </xf>
    <xf numFmtId="4" fontId="15" fillId="0" borderId="0" xfId="0" applyNumberFormat="1" applyFont="1" applyAlignment="1">
      <alignment horizontal="left"/>
    </xf>
    <xf numFmtId="4" fontId="14" fillId="0" borderId="2" xfId="0" applyNumberFormat="1" applyFont="1" applyBorder="1" applyAlignment="1">
      <alignment horizontal="left"/>
    </xf>
    <xf numFmtId="43" fontId="14" fillId="0" borderId="0" xfId="0" applyNumberFormat="1" applyFont="1"/>
    <xf numFmtId="1" fontId="30" fillId="0" borderId="0" xfId="0" quotePrefix="1" applyNumberFormat="1" applyFont="1" applyAlignment="1">
      <alignment horizontal="left"/>
    </xf>
    <xf numFmtId="43" fontId="17" fillId="0" borderId="0" xfId="1" applyFont="1"/>
    <xf numFmtId="43" fontId="18" fillId="0" borderId="0" xfId="1" quotePrefix="1" applyFont="1" applyFill="1" applyBorder="1" applyAlignment="1">
      <alignment horizontal="center"/>
    </xf>
    <xf numFmtId="43" fontId="17" fillId="0" borderId="0" xfId="1" applyFont="1" applyFill="1" applyBorder="1" applyAlignment="1"/>
    <xf numFmtId="0" fontId="17" fillId="0" borderId="0" xfId="0" quotePrefix="1" applyFont="1" applyAlignment="1">
      <alignment horizontal="left"/>
    </xf>
    <xf numFmtId="0" fontId="17" fillId="0" borderId="0" xfId="0" quotePrefix="1" applyFont="1" applyAlignment="1">
      <alignment horizontal="center"/>
    </xf>
    <xf numFmtId="0" fontId="18"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6" fillId="0" borderId="0" xfId="0" quotePrefix="1" applyFont="1" applyAlignment="1">
      <alignment horizontal="left"/>
    </xf>
    <xf numFmtId="43" fontId="22" fillId="0" borderId="1" xfId="1" applyFont="1" applyBorder="1"/>
    <xf numFmtId="16" fontId="14" fillId="0" borderId="0" xfId="0" applyNumberFormat="1" applyFont="1"/>
    <xf numFmtId="0" fontId="18" fillId="0" borderId="0" xfId="0" applyFont="1"/>
    <xf numFmtId="0" fontId="18"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4" fillId="4" borderId="4" xfId="0" applyFont="1" applyFill="1" applyBorder="1" applyAlignment="1">
      <alignment horizontal="left"/>
    </xf>
    <xf numFmtId="0" fontId="14"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7" fillId="0" borderId="0" xfId="7" quotePrefix="1" applyNumberFormat="1" applyFont="1" applyAlignment="1">
      <alignment horizontal="left"/>
    </xf>
    <xf numFmtId="1" fontId="17" fillId="4" borderId="0" xfId="7" quotePrefix="1" applyNumberFormat="1" applyFont="1" applyFill="1" applyAlignment="1">
      <alignment horizontal="left"/>
    </xf>
    <xf numFmtId="1" fontId="17" fillId="0" borderId="0" xfId="2" applyNumberFormat="1" applyFont="1" applyFill="1" applyBorder="1" applyAlignment="1">
      <alignment horizontal="center"/>
    </xf>
    <xf numFmtId="1" fontId="17" fillId="0" borderId="0" xfId="2" applyNumberFormat="1" applyFont="1" applyFill="1" applyBorder="1" applyAlignment="1"/>
    <xf numFmtId="1" fontId="17" fillId="0" borderId="0" xfId="2" quotePrefix="1" applyNumberFormat="1" applyFont="1" applyFill="1" applyBorder="1" applyAlignment="1">
      <alignment horizontal="left"/>
    </xf>
    <xf numFmtId="43" fontId="14" fillId="0" borderId="0" xfId="1" applyFont="1" applyBorder="1" applyAlignment="1">
      <alignment horizontal="center"/>
    </xf>
    <xf numFmtId="43" fontId="22" fillId="0" borderId="0" xfId="1" applyFont="1" applyBorder="1"/>
    <xf numFmtId="43" fontId="14" fillId="5" borderId="9" xfId="1" applyFont="1" applyFill="1" applyBorder="1" applyAlignment="1"/>
    <xf numFmtId="0" fontId="17" fillId="0" borderId="0" xfId="0" quotePrefix="1" applyFont="1" applyAlignment="1">
      <alignment horizontal="right"/>
    </xf>
    <xf numFmtId="43" fontId="18"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7" fillId="0" borderId="0" xfId="0" quotePrefix="1" applyNumberFormat="1" applyFont="1" applyAlignment="1">
      <alignment horizontal="left" indent="1"/>
    </xf>
    <xf numFmtId="49" fontId="17" fillId="4" borderId="0" xfId="0" quotePrefix="1" applyNumberFormat="1" applyFont="1" applyFill="1"/>
    <xf numFmtId="49" fontId="17" fillId="4" borderId="0" xfId="0" quotePrefix="1" applyNumberFormat="1" applyFont="1" applyFill="1" applyAlignment="1">
      <alignment horizontal="left" indent="1"/>
    </xf>
    <xf numFmtId="49" fontId="17" fillId="4" borderId="0" xfId="7" applyNumberFormat="1" applyFont="1" applyFill="1" applyAlignment="1">
      <alignment horizontal="left" indent="1"/>
    </xf>
    <xf numFmtId="49" fontId="17" fillId="0" borderId="0" xfId="0" applyNumberFormat="1" applyFont="1"/>
    <xf numFmtId="0" fontId="14" fillId="0" borderId="0" xfId="0" quotePrefix="1" applyFont="1" applyAlignment="1">
      <alignment horizontal="left" indent="1"/>
    </xf>
    <xf numFmtId="49" fontId="22" fillId="0" borderId="0" xfId="7" applyNumberFormat="1" applyFont="1"/>
    <xf numFmtId="0" fontId="17" fillId="0" borderId="0" xfId="0" applyFont="1" applyAlignment="1">
      <alignment horizontal="right"/>
    </xf>
    <xf numFmtId="0" fontId="18" fillId="0" borderId="0" xfId="0" quotePrefix="1" applyFont="1" applyAlignment="1">
      <alignment horizontal="left" vertical="top"/>
    </xf>
    <xf numFmtId="0" fontId="13" fillId="0" borderId="0" xfId="0" quotePrefix="1" applyFont="1"/>
    <xf numFmtId="169" fontId="16" fillId="6" borderId="0" xfId="0" applyNumberFormat="1" applyFont="1" applyFill="1" applyAlignment="1">
      <alignment horizontal="center"/>
    </xf>
    <xf numFmtId="4" fontId="22" fillId="6" borderId="1" xfId="0" applyNumberFormat="1" applyFont="1" applyFill="1" applyBorder="1" applyAlignment="1">
      <alignment horizontal="center"/>
    </xf>
    <xf numFmtId="43" fontId="22" fillId="6" borderId="1" xfId="1" applyFont="1" applyFill="1" applyBorder="1" applyAlignment="1"/>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7" fillId="0" borderId="0" xfId="0" applyNumberFormat="1" applyFont="1"/>
    <xf numFmtId="43" fontId="31" fillId="0" borderId="0" xfId="1" applyFont="1" applyFill="1"/>
    <xf numFmtId="43" fontId="17" fillId="0" borderId="0" xfId="1" applyFont="1" applyFill="1"/>
    <xf numFmtId="7" fontId="16" fillId="6" borderId="0" xfId="0" applyNumberFormat="1" applyFont="1" applyFill="1" applyAlignment="1">
      <alignment horizontal="left"/>
    </xf>
    <xf numFmtId="4" fontId="14" fillId="6" borderId="1" xfId="0" applyNumberFormat="1" applyFont="1" applyFill="1" applyBorder="1" applyAlignment="1">
      <alignment horizontal="center"/>
    </xf>
    <xf numFmtId="43" fontId="14" fillId="6" borderId="1" xfId="1" applyFont="1" applyFill="1" applyBorder="1" applyAlignment="1"/>
    <xf numFmtId="41" fontId="14" fillId="6" borderId="0" xfId="1" applyNumberFormat="1" applyFont="1" applyFill="1" applyBorder="1" applyAlignment="1"/>
    <xf numFmtId="4" fontId="14" fillId="6" borderId="0" xfId="0" applyNumberFormat="1" applyFont="1" applyFill="1" applyAlignment="1">
      <alignment horizontal="center"/>
    </xf>
    <xf numFmtId="38" fontId="14" fillId="6" borderId="0" xfId="0" quotePrefix="1" applyNumberFormat="1" applyFont="1" applyFill="1"/>
    <xf numFmtId="164" fontId="14" fillId="0" borderId="0" xfId="6" quotePrefix="1" applyFont="1" applyBorder="1" applyAlignment="1">
      <alignment horizontal="center" wrapText="1"/>
    </xf>
    <xf numFmtId="3" fontId="14" fillId="2" borderId="0" xfId="0" quotePrefix="1" applyNumberFormat="1" applyFont="1" applyFill="1"/>
    <xf numFmtId="0" fontId="10" fillId="0" borderId="0" xfId="0" quotePrefix="1" applyFont="1" applyAlignment="1">
      <alignment horizontal="left"/>
    </xf>
    <xf numFmtId="0" fontId="33" fillId="0" borderId="0" xfId="0" applyFont="1"/>
    <xf numFmtId="0" fontId="14" fillId="7" borderId="0" xfId="0" applyFont="1" applyFill="1"/>
    <xf numFmtId="0" fontId="14" fillId="7" borderId="0" xfId="0" applyFont="1" applyFill="1" applyAlignment="1">
      <alignment horizontal="left"/>
    </xf>
    <xf numFmtId="0" fontId="20" fillId="7" borderId="0" xfId="0" applyFont="1" applyFill="1"/>
    <xf numFmtId="43" fontId="14" fillId="7" borderId="0" xfId="1" applyFont="1" applyFill="1" applyBorder="1" applyAlignment="1"/>
    <xf numFmtId="49" fontId="17" fillId="0" borderId="0" xfId="7" applyNumberFormat="1" applyFont="1"/>
    <xf numFmtId="49" fontId="17" fillId="4" borderId="0" xfId="7" quotePrefix="1" applyNumberFormat="1" applyFont="1" applyFill="1" applyAlignment="1">
      <alignment horizontal="left" indent="1"/>
    </xf>
    <xf numFmtId="9" fontId="15" fillId="0" borderId="0" xfId="11"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10" fillId="0" borderId="0" xfId="0" quotePrefix="1" applyFont="1" applyAlignment="1">
      <alignment horizontal="left" indent="1"/>
    </xf>
    <xf numFmtId="0" fontId="18" fillId="0" borderId="0" xfId="0" quotePrefix="1" applyFont="1" applyAlignment="1" applyProtection="1">
      <alignment horizontal="left"/>
      <protection locked="0"/>
    </xf>
    <xf numFmtId="170" fontId="14" fillId="0" borderId="0" xfId="6" quotePrefix="1" applyNumberFormat="1" applyFont="1" applyBorder="1" applyAlignment="1">
      <alignment horizontal="center"/>
    </xf>
    <xf numFmtId="0" fontId="34" fillId="0" borderId="0" xfId="0" quotePrefix="1" applyFont="1" applyAlignment="1">
      <alignment horizontal="left" indent="2"/>
    </xf>
    <xf numFmtId="16" fontId="14" fillId="0" borderId="0" xfId="0" applyNumberFormat="1" applyFont="1" applyAlignment="1">
      <alignment vertical="center"/>
    </xf>
    <xf numFmtId="0" fontId="20" fillId="0" borderId="1" xfId="0" quotePrefix="1" applyFont="1" applyBorder="1" applyAlignment="1">
      <alignment horizontal="center"/>
    </xf>
    <xf numFmtId="164" fontId="22" fillId="0" borderId="0" xfId="6" quotePrefix="1" applyFont="1" applyBorder="1" applyAlignment="1">
      <alignment horizontal="center" wrapText="1"/>
    </xf>
    <xf numFmtId="14" fontId="20"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7" fillId="4" borderId="0" xfId="0" applyFont="1" applyFill="1" applyAlignment="1">
      <alignment horizontal="center"/>
    </xf>
    <xf numFmtId="0" fontId="17" fillId="0" borderId="0" xfId="0" quotePrefix="1" applyFont="1" applyAlignment="1">
      <alignment horizontal="left" vertical="top"/>
    </xf>
    <xf numFmtId="17" fontId="20" fillId="0" borderId="0" xfId="0" quotePrefix="1" applyNumberFormat="1" applyFont="1" applyAlignment="1">
      <alignment horizontal="center"/>
    </xf>
    <xf numFmtId="7" fontId="17" fillId="0" borderId="0" xfId="0" quotePrefix="1" applyNumberFormat="1" applyFont="1" applyAlignment="1">
      <alignment horizontal="center"/>
    </xf>
    <xf numFmtId="0" fontId="10"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10"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10" fillId="2" borderId="13" xfId="0" quotePrefix="1" applyFont="1" applyFill="1" applyBorder="1" applyAlignment="1">
      <alignment horizontal="left"/>
    </xf>
    <xf numFmtId="0" fontId="17" fillId="0" borderId="0" xfId="0" quotePrefix="1" applyFont="1" applyAlignment="1">
      <alignment horizontal="left" vertical="center" indent="1"/>
    </xf>
    <xf numFmtId="49" fontId="17" fillId="0" borderId="0" xfId="7" quotePrefix="1" applyNumberFormat="1" applyFont="1" applyAlignment="1">
      <alignment horizontal="left" indent="1"/>
    </xf>
    <xf numFmtId="0" fontId="32" fillId="0" borderId="0" xfId="0" applyFont="1" applyAlignment="1">
      <alignment horizontal="left"/>
    </xf>
    <xf numFmtId="0" fontId="18" fillId="0" borderId="0" xfId="0" applyFont="1" applyAlignment="1">
      <alignment vertical="center" wrapText="1"/>
    </xf>
    <xf numFmtId="0" fontId="18" fillId="0" borderId="0" xfId="0" quotePrefix="1" applyFont="1" applyAlignment="1" applyProtection="1">
      <alignment horizontal="left" vertical="center"/>
      <protection locked="0"/>
    </xf>
    <xf numFmtId="0" fontId="18" fillId="0" borderId="0" xfId="0" applyFont="1" applyAlignment="1" applyProtection="1">
      <alignment vertical="center"/>
      <protection locked="0"/>
    </xf>
    <xf numFmtId="0" fontId="18" fillId="0" borderId="0" xfId="0" applyFont="1" applyAlignment="1">
      <alignment vertical="center"/>
    </xf>
    <xf numFmtId="0" fontId="18"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8" fillId="0" borderId="0" xfId="0" quotePrefix="1" applyFont="1" applyAlignment="1" applyProtection="1">
      <alignment horizontal="left" vertical="center" indent="2"/>
      <protection locked="0"/>
    </xf>
    <xf numFmtId="0" fontId="18" fillId="0" borderId="0" xfId="0" applyFont="1" applyAlignment="1">
      <alignment horizontal="left" vertical="center" indent="2"/>
    </xf>
    <xf numFmtId="0" fontId="18"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7" fillId="0" borderId="0" xfId="7" quotePrefix="1" applyNumberFormat="1" applyFont="1" applyAlignment="1">
      <alignment horizontal="right"/>
    </xf>
    <xf numFmtId="43" fontId="17" fillId="0" borderId="0" xfId="7" applyNumberFormat="1" applyFont="1" applyAlignment="1">
      <alignment vertical="center"/>
    </xf>
    <xf numFmtId="164" fontId="14" fillId="2" borderId="0" xfId="6" quotePrefix="1" applyFont="1" applyFill="1" applyBorder="1" applyAlignment="1">
      <alignment horizontal="center" wrapText="1"/>
    </xf>
    <xf numFmtId="164" fontId="14" fillId="0" borderId="0" xfId="6" quotePrefix="1" applyFont="1" applyBorder="1" applyAlignment="1">
      <alignment horizontal="center"/>
    </xf>
    <xf numFmtId="16" fontId="18" fillId="0" borderId="0" xfId="0" applyNumberFormat="1" applyFont="1" applyAlignment="1">
      <alignment horizontal="left"/>
    </xf>
    <xf numFmtId="49" fontId="18"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18" fillId="2" borderId="2" xfId="0" applyNumberFormat="1" applyFont="1" applyFill="1" applyBorder="1"/>
    <xf numFmtId="0" fontId="17" fillId="0" borderId="0" xfId="0" quotePrefix="1" applyFont="1" applyAlignment="1">
      <alignment vertical="center"/>
    </xf>
    <xf numFmtId="0" fontId="17" fillId="4" borderId="0" xfId="0" quotePrefix="1" applyFont="1" applyFill="1" applyAlignment="1">
      <alignment horizontal="left" vertical="center" indent="1"/>
    </xf>
    <xf numFmtId="0" fontId="36" fillId="2" borderId="12" xfId="0" applyFont="1" applyFill="1" applyBorder="1"/>
    <xf numFmtId="1" fontId="17" fillId="4" borderId="0" xfId="7" applyNumberFormat="1" applyFont="1" applyFill="1" applyAlignment="1">
      <alignment horizontal="right" indent="1"/>
    </xf>
    <xf numFmtId="1" fontId="17" fillId="0" borderId="0" xfId="7" quotePrefix="1" applyNumberFormat="1" applyFont="1" applyAlignment="1">
      <alignment horizontal="right" indent="1"/>
    </xf>
    <xf numFmtId="0" fontId="10" fillId="0" borderId="16" xfId="0" quotePrefix="1" applyFont="1" applyBorder="1" applyAlignment="1">
      <alignment horizontal="left" indent="1"/>
    </xf>
    <xf numFmtId="0" fontId="22" fillId="4" borderId="4" xfId="0" applyFont="1" applyFill="1" applyBorder="1" applyAlignment="1">
      <alignment horizontal="center"/>
    </xf>
    <xf numFmtId="1" fontId="17" fillId="4" borderId="0" xfId="2" applyNumberFormat="1" applyFont="1" applyFill="1" applyBorder="1" applyAlignment="1">
      <alignment horizontal="center"/>
    </xf>
    <xf numFmtId="1" fontId="17" fillId="4" borderId="0" xfId="2" quotePrefix="1" applyNumberFormat="1" applyFont="1" applyFill="1" applyBorder="1" applyAlignment="1">
      <alignment horizontal="left"/>
    </xf>
    <xf numFmtId="49" fontId="18" fillId="2" borderId="17" xfId="0" quotePrefix="1" applyNumberFormat="1" applyFont="1" applyFill="1" applyBorder="1" applyAlignment="1">
      <alignment horizontal="left" indent="1"/>
    </xf>
    <xf numFmtId="0" fontId="18" fillId="2" borderId="7" xfId="0" quotePrefix="1" applyFont="1" applyFill="1" applyBorder="1" applyAlignment="1">
      <alignment horizontal="left" indent="1"/>
    </xf>
    <xf numFmtId="0" fontId="14" fillId="2" borderId="0" xfId="0" quotePrefix="1" applyFont="1" applyFill="1" applyAlignment="1">
      <alignment horizontal="left"/>
    </xf>
    <xf numFmtId="0" fontId="16" fillId="2" borderId="0" xfId="0" applyFont="1" applyFill="1" applyAlignment="1">
      <alignment horizontal="left"/>
    </xf>
    <xf numFmtId="0" fontId="18" fillId="0" borderId="0" xfId="0" quotePrefix="1" applyFont="1" applyAlignment="1" applyProtection="1">
      <alignment horizontal="left" indent="2"/>
      <protection locked="0"/>
    </xf>
    <xf numFmtId="0" fontId="18" fillId="0" borderId="0" xfId="0" applyFont="1" applyProtection="1">
      <protection locked="0"/>
    </xf>
    <xf numFmtId="0" fontId="16" fillId="2" borderId="0" xfId="0" quotePrefix="1" applyFont="1" applyFill="1" applyAlignment="1">
      <alignment horizontal="left"/>
    </xf>
    <xf numFmtId="164" fontId="37" fillId="0" borderId="1" xfId="6" quotePrefix="1" applyFont="1" applyBorder="1" applyAlignment="1">
      <alignment horizontal="center"/>
    </xf>
    <xf numFmtId="0" fontId="42" fillId="0" borderId="0" xfId="0" applyFont="1" applyAlignment="1">
      <alignment horizontal="left" indent="2"/>
    </xf>
    <xf numFmtId="0" fontId="42" fillId="0" borderId="0" xfId="0" quotePrefix="1" applyFont="1" applyAlignment="1">
      <alignment horizontal="left" vertical="center" indent="2"/>
    </xf>
    <xf numFmtId="0" fontId="14" fillId="0" borderId="0" xfId="0" applyFont="1" applyAlignment="1">
      <alignment horizontal="left" vertical="center" indent="2"/>
    </xf>
    <xf numFmtId="169" fontId="19" fillId="0" borderId="0" xfId="0" applyNumberFormat="1" applyFont="1" applyAlignment="1">
      <alignment horizontal="left" vertical="center" indent="2"/>
    </xf>
    <xf numFmtId="2" fontId="14" fillId="0" borderId="0" xfId="0" applyNumberFormat="1" applyFont="1" applyAlignment="1">
      <alignment horizontal="left" vertical="center" indent="2"/>
    </xf>
    <xf numFmtId="43" fontId="14" fillId="0" borderId="0" xfId="1" applyFont="1" applyBorder="1" applyAlignment="1">
      <alignment horizontal="left" vertical="center" indent="2"/>
    </xf>
    <xf numFmtId="0" fontId="14" fillId="2" borderId="0" xfId="0" applyFont="1" applyFill="1" applyAlignment="1">
      <alignment horizontal="left" vertical="center" indent="2"/>
    </xf>
    <xf numFmtId="169" fontId="19" fillId="2" borderId="0" xfId="0" applyNumberFormat="1" applyFont="1" applyFill="1" applyAlignment="1">
      <alignment horizontal="left" vertical="center" indent="2"/>
    </xf>
    <xf numFmtId="2" fontId="14" fillId="2" borderId="0" xfId="0" applyNumberFormat="1" applyFont="1" applyFill="1" applyAlignment="1">
      <alignment horizontal="left" vertical="center" indent="2"/>
    </xf>
    <xf numFmtId="0" fontId="42" fillId="0" borderId="0" xfId="0" applyFont="1" applyAlignment="1">
      <alignment horizontal="left" vertical="top" indent="2"/>
    </xf>
    <xf numFmtId="0" fontId="14" fillId="0" borderId="0" xfId="0" quotePrefix="1" applyFont="1"/>
    <xf numFmtId="44" fontId="14" fillId="0" borderId="0" xfId="1" applyNumberFormat="1" applyFont="1" applyAlignment="1">
      <alignment horizontal="right"/>
    </xf>
    <xf numFmtId="10" fontId="14" fillId="0" borderId="0" xfId="10" applyNumberFormat="1" applyFont="1" applyAlignment="1">
      <alignment horizontal="center"/>
    </xf>
    <xf numFmtId="43" fontId="14" fillId="2" borderId="0" xfId="1" applyFont="1" applyFill="1" applyBorder="1" applyAlignment="1"/>
    <xf numFmtId="0" fontId="42" fillId="2" borderId="0" xfId="0" quotePrefix="1" applyFont="1" applyFill="1" applyAlignment="1">
      <alignment horizontal="left" vertical="center" indent="2"/>
    </xf>
    <xf numFmtId="43" fontId="14" fillId="2" borderId="0" xfId="1" applyFont="1" applyFill="1" applyBorder="1" applyAlignment="1">
      <alignment horizontal="left" vertical="center" indent="2"/>
    </xf>
    <xf numFmtId="0" fontId="42" fillId="2" borderId="0" xfId="0" quotePrefix="1" applyFont="1" applyFill="1" applyAlignment="1">
      <alignment horizontal="left" vertical="top" indent="2"/>
    </xf>
    <xf numFmtId="0" fontId="42" fillId="2" borderId="0" xfId="0" applyFont="1" applyFill="1" applyAlignment="1">
      <alignment horizontal="left" indent="2"/>
    </xf>
    <xf numFmtId="0" fontId="14" fillId="2" borderId="0" xfId="0" quotePrefix="1" applyFont="1" applyFill="1"/>
    <xf numFmtId="44" fontId="14" fillId="2" borderId="0" xfId="1" applyNumberFormat="1" applyFont="1" applyFill="1" applyAlignment="1">
      <alignment horizontal="right"/>
    </xf>
    <xf numFmtId="2" fontId="14" fillId="2" borderId="0" xfId="0" quotePrefix="1" applyNumberFormat="1" applyFont="1" applyFill="1" applyAlignment="1">
      <alignment horizontal="center"/>
    </xf>
    <xf numFmtId="10" fontId="14" fillId="2" borderId="0" xfId="10" applyNumberFormat="1" applyFont="1" applyFill="1" applyAlignment="1">
      <alignment horizontal="center"/>
    </xf>
    <xf numFmtId="43" fontId="14" fillId="2" borderId="5" xfId="1" applyFont="1" applyFill="1" applyBorder="1" applyAlignment="1"/>
    <xf numFmtId="0" fontId="42" fillId="2" borderId="0" xfId="0" applyFont="1" applyFill="1" applyAlignment="1">
      <alignment horizontal="left" vertical="top" indent="2"/>
    </xf>
    <xf numFmtId="181" fontId="19" fillId="0" borderId="1" xfId="1" applyNumberFormat="1" applyFont="1" applyBorder="1" applyAlignment="1">
      <alignment horizontal="center"/>
    </xf>
    <xf numFmtId="0" fontId="37" fillId="0" borderId="0" xfId="0" applyFont="1"/>
    <xf numFmtId="0" fontId="37" fillId="2" borderId="0" xfId="0" applyFont="1" applyFill="1"/>
    <xf numFmtId="0" fontId="37" fillId="2" borderId="0" xfId="0" quotePrefix="1" applyFont="1" applyFill="1" applyAlignment="1">
      <alignment horizontal="left"/>
    </xf>
    <xf numFmtId="0" fontId="37" fillId="0" borderId="0" xfId="0" quotePrefix="1" applyFont="1" applyAlignment="1">
      <alignment horizontal="left"/>
    </xf>
    <xf numFmtId="43" fontId="14" fillId="0" borderId="0" xfId="1" applyFont="1"/>
    <xf numFmtId="41" fontId="14" fillId="2" borderId="1" xfId="0" applyNumberFormat="1" applyFont="1" applyFill="1" applyBorder="1"/>
    <xf numFmtId="41" fontId="14" fillId="2" borderId="0" xfId="0" applyNumberFormat="1" applyFont="1" applyFill="1"/>
    <xf numFmtId="166" fontId="14" fillId="2" borderId="0" xfId="0" applyNumberFormat="1" applyFont="1" applyFill="1" applyAlignment="1">
      <alignment horizontal="center"/>
    </xf>
    <xf numFmtId="166" fontId="14" fillId="0" borderId="0" xfId="0" applyNumberFormat="1" applyFont="1" applyAlignment="1">
      <alignment horizontal="center"/>
    </xf>
    <xf numFmtId="0" fontId="5" fillId="0" borderId="0" xfId="0" quotePrefix="1" applyFont="1" applyAlignment="1">
      <alignment horizontal="left"/>
    </xf>
    <xf numFmtId="43" fontId="16" fillId="0" borderId="0" xfId="1" applyFont="1" applyFill="1" applyBorder="1" applyAlignment="1"/>
    <xf numFmtId="0" fontId="16" fillId="0" borderId="0" xfId="0" applyFont="1" applyAlignment="1">
      <alignment horizontal="right"/>
    </xf>
    <xf numFmtId="7" fontId="44" fillId="0" borderId="0" xfId="0" quotePrefix="1" applyNumberFormat="1" applyFont="1" applyAlignment="1">
      <alignment horizontal="center"/>
    </xf>
    <xf numFmtId="17" fontId="44" fillId="0" borderId="0" xfId="0" quotePrefix="1" applyNumberFormat="1" applyFont="1" applyAlignment="1">
      <alignment horizontal="center"/>
    </xf>
    <xf numFmtId="7" fontId="44" fillId="0" borderId="0" xfId="0" applyNumberFormat="1" applyFont="1" applyAlignment="1">
      <alignment horizontal="center"/>
    </xf>
    <xf numFmtId="2" fontId="16" fillId="0" borderId="0" xfId="0" quotePrefix="1" applyNumberFormat="1" applyFont="1" applyAlignment="1">
      <alignment horizontal="center"/>
    </xf>
    <xf numFmtId="0" fontId="45" fillId="0" borderId="0" xfId="0" quotePrefix="1" applyFont="1" applyAlignment="1">
      <alignment horizontal="center"/>
    </xf>
    <xf numFmtId="0" fontId="14" fillId="0" borderId="0" xfId="0" quotePrefix="1" applyFont="1" applyAlignment="1">
      <alignment horizontal="left" wrapText="1"/>
    </xf>
    <xf numFmtId="2" fontId="39" fillId="0" borderId="0" xfId="0" applyNumberFormat="1" applyFont="1" applyAlignment="1">
      <alignment horizontal="left" indent="3"/>
    </xf>
    <xf numFmtId="2" fontId="24" fillId="2" borderId="0" xfId="0" applyNumberFormat="1" applyFont="1" applyFill="1" applyAlignment="1">
      <alignment horizontal="left"/>
    </xf>
    <xf numFmtId="0" fontId="14" fillId="2" borderId="0" xfId="0" quotePrefix="1" applyFont="1" applyFill="1" applyAlignment="1">
      <alignment horizontal="left" wrapText="1"/>
    </xf>
    <xf numFmtId="7" fontId="20" fillId="0" borderId="1" xfId="0" quotePrefix="1" applyNumberFormat="1" applyFont="1" applyBorder="1" applyAlignment="1">
      <alignment horizontal="center"/>
    </xf>
    <xf numFmtId="43" fontId="31" fillId="0" borderId="0" xfId="7" applyNumberFormat="1" applyFont="1"/>
    <xf numFmtId="49" fontId="17" fillId="0" borderId="0" xfId="0" quotePrefix="1" applyNumberFormat="1" applyFont="1" applyFill="1" applyAlignment="1">
      <alignment horizontal="left" indent="1"/>
    </xf>
    <xf numFmtId="0" fontId="18" fillId="2" borderId="7" xfId="0" quotePrefix="1" applyFont="1" applyFill="1" applyBorder="1" applyAlignment="1">
      <alignment horizontal="left"/>
    </xf>
    <xf numFmtId="0" fontId="14" fillId="0" borderId="1" xfId="0" quotePrefix="1" applyFont="1" applyBorder="1" applyAlignment="1">
      <alignment horizontal="center"/>
    </xf>
    <xf numFmtId="0" fontId="14" fillId="0" borderId="0" xfId="0" applyFont="1" applyAlignment="1">
      <alignment horizontal="left"/>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14" fillId="2" borderId="0" xfId="0" applyFont="1" applyFill="1" applyAlignment="1">
      <alignment horizontal="left"/>
    </xf>
    <xf numFmtId="166" fontId="19" fillId="2" borderId="0" xfId="0" applyNumberFormat="1" applyFont="1" applyFill="1" applyAlignment="1">
      <alignment horizontal="left"/>
    </xf>
    <xf numFmtId="0" fontId="14" fillId="2" borderId="0" xfId="0" applyFont="1" applyFill="1" applyAlignment="1">
      <alignment horizontal="right"/>
    </xf>
    <xf numFmtId="0" fontId="14" fillId="2" borderId="0" xfId="0" applyFont="1" applyFill="1" applyAlignment="1">
      <alignment horizontal="center"/>
    </xf>
    <xf numFmtId="0" fontId="14" fillId="2" borderId="1" xfId="0" quotePrefix="1" applyFont="1" applyFill="1" applyBorder="1" applyAlignment="1">
      <alignment horizontal="center"/>
    </xf>
    <xf numFmtId="0" fontId="14" fillId="0" borderId="0" xfId="0" quotePrefix="1" applyFont="1" applyAlignment="1">
      <alignment horizontal="left"/>
    </xf>
    <xf numFmtId="0" fontId="14" fillId="2" borderId="0" xfId="0" applyFont="1" applyFill="1" applyAlignment="1">
      <alignment horizontal="left"/>
    </xf>
    <xf numFmtId="0" fontId="14" fillId="2" borderId="0" xfId="0" quotePrefix="1" applyFont="1" applyFill="1" applyAlignment="1">
      <alignment horizontal="left"/>
    </xf>
    <xf numFmtId="0" fontId="46" fillId="0" borderId="0" xfId="0" quotePrefix="1" applyFont="1" applyAlignment="1">
      <alignment horizontal="center"/>
    </xf>
    <xf numFmtId="0" fontId="46" fillId="0" borderId="1" xfId="0" quotePrefix="1" applyFont="1" applyBorder="1" applyAlignment="1">
      <alignment horizontal="center"/>
    </xf>
    <xf numFmtId="7" fontId="14" fillId="0" borderId="0" xfId="0" quotePrefix="1" applyNumberFormat="1" applyFont="1" applyAlignment="1">
      <alignment horizontal="center"/>
    </xf>
    <xf numFmtId="170" fontId="46" fillId="6" borderId="0" xfId="6" applyNumberFormat="1" applyFont="1" applyFill="1" applyBorder="1" applyAlignment="1"/>
    <xf numFmtId="0" fontId="16" fillId="0" borderId="0" xfId="0" applyFont="1" applyFill="1" applyBorder="1"/>
    <xf numFmtId="0" fontId="14" fillId="2" borderId="1" xfId="0" applyFont="1" applyFill="1" applyBorder="1"/>
    <xf numFmtId="170" fontId="46" fillId="2" borderId="1" xfId="6" applyNumberFormat="1" applyFont="1" applyFill="1" applyBorder="1" applyAlignment="1"/>
    <xf numFmtId="0" fontId="17" fillId="2" borderId="0" xfId="0" quotePrefix="1" applyFont="1" applyFill="1" applyAlignment="1">
      <alignment horizontal="left"/>
    </xf>
    <xf numFmtId="0" fontId="16" fillId="2" borderId="0" xfId="0" quotePrefix="1" applyFont="1" applyFill="1" applyAlignment="1">
      <alignment horizontal="center"/>
    </xf>
    <xf numFmtId="166" fontId="19" fillId="2" borderId="0" xfId="0" applyNumberFormat="1" applyFont="1" applyFill="1" applyAlignment="1">
      <alignment horizontal="center"/>
    </xf>
    <xf numFmtId="7" fontId="16" fillId="2" borderId="0" xfId="0" quotePrefix="1" applyNumberFormat="1" applyFont="1" applyFill="1" applyBorder="1" applyAlignment="1">
      <alignment horizontal="center"/>
    </xf>
    <xf numFmtId="17" fontId="16" fillId="2" borderId="0" xfId="0" quotePrefix="1" applyNumberFormat="1" applyFont="1" applyFill="1" applyBorder="1" applyAlignment="1">
      <alignment horizontal="center"/>
    </xf>
    <xf numFmtId="7" fontId="16" fillId="2" borderId="0" xfId="0" applyNumberFormat="1" applyFont="1" applyFill="1" applyBorder="1" applyAlignment="1">
      <alignment horizontal="center"/>
    </xf>
    <xf numFmtId="0" fontId="16" fillId="2" borderId="0" xfId="0" quotePrefix="1" applyFont="1" applyFill="1" applyBorder="1" applyAlignment="1">
      <alignment horizontal="center"/>
    </xf>
    <xf numFmtId="169" fontId="14" fillId="2" borderId="0" xfId="0" quotePrefix="1" applyNumberFormat="1" applyFont="1" applyFill="1" applyBorder="1" applyAlignment="1">
      <alignment horizontal="center"/>
    </xf>
    <xf numFmtId="2" fontId="14" fillId="2" borderId="0" xfId="0" quotePrefix="1" applyNumberFormat="1" applyFont="1" applyFill="1" applyBorder="1" applyAlignment="1">
      <alignment horizontal="center"/>
    </xf>
    <xf numFmtId="0" fontId="46" fillId="2" borderId="1" xfId="0" quotePrefix="1" applyFont="1" applyFill="1" applyBorder="1" applyAlignment="1">
      <alignment horizontal="center"/>
    </xf>
    <xf numFmtId="44" fontId="14" fillId="2" borderId="8" xfId="0" applyNumberFormat="1" applyFont="1" applyFill="1" applyBorder="1"/>
    <xf numFmtId="164" fontId="14" fillId="2" borderId="5" xfId="6" applyNumberFormat="1" applyFont="1" applyFill="1" applyBorder="1" applyAlignment="1"/>
    <xf numFmtId="164" fontId="14" fillId="2" borderId="1" xfId="6" applyNumberFormat="1" applyFont="1" applyFill="1" applyBorder="1" applyAlignment="1"/>
    <xf numFmtId="164" fontId="14" fillId="2" borderId="1" xfId="0" applyNumberFormat="1" applyFont="1" applyFill="1" applyBorder="1"/>
    <xf numFmtId="164" fontId="14" fillId="2" borderId="6" xfId="6" applyNumberFormat="1" applyFont="1" applyFill="1" applyBorder="1" applyAlignment="1"/>
    <xf numFmtId="164" fontId="14" fillId="2" borderId="3" xfId="6" applyNumberFormat="1" applyFont="1" applyFill="1" applyBorder="1" applyAlignment="1"/>
    <xf numFmtId="164" fontId="14" fillId="2" borderId="0" xfId="6" applyNumberFormat="1" applyFont="1" applyFill="1" applyBorder="1" applyAlignment="1"/>
    <xf numFmtId="164" fontId="14" fillId="2" borderId="0" xfId="0" applyNumberFormat="1" applyFont="1" applyFill="1"/>
    <xf numFmtId="4" fontId="14" fillId="2" borderId="1" xfId="0" applyNumberFormat="1" applyFont="1" applyFill="1" applyBorder="1"/>
    <xf numFmtId="164" fontId="14" fillId="2" borderId="8" xfId="0" applyNumberFormat="1" applyFont="1" applyFill="1" applyBorder="1"/>
    <xf numFmtId="0" fontId="47" fillId="0" borderId="0" xfId="0" quotePrefix="1" applyFont="1" applyAlignment="1">
      <alignment horizontal="left" vertical="center" indent="2"/>
    </xf>
    <xf numFmtId="0" fontId="47" fillId="0" borderId="0" xfId="0" applyFont="1" applyAlignment="1">
      <alignment horizontal="left" vertical="top" indent="2"/>
    </xf>
    <xf numFmtId="0" fontId="47" fillId="0" borderId="0" xfId="0" quotePrefix="1" applyFont="1" applyAlignment="1">
      <alignment horizontal="left" vertical="top" indent="2"/>
    </xf>
    <xf numFmtId="0" fontId="14" fillId="0" borderId="1" xfId="0" quotePrefix="1" applyFont="1" applyBorder="1" applyAlignment="1">
      <alignment horizontal="center"/>
    </xf>
    <xf numFmtId="0" fontId="14" fillId="0" borderId="0" xfId="0" applyFont="1" applyAlignment="1">
      <alignment horizontal="left"/>
    </xf>
    <xf numFmtId="2" fontId="14" fillId="0" borderId="0" xfId="0" applyNumberFormat="1"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left"/>
    </xf>
    <xf numFmtId="0" fontId="14" fillId="0" borderId="0" xfId="0" applyFont="1" applyAlignment="1">
      <alignment horizontal="center"/>
    </xf>
    <xf numFmtId="0" fontId="14" fillId="0" borderId="0" xfId="0" quotePrefix="1" applyFont="1" applyAlignment="1">
      <alignment horizontal="center"/>
    </xf>
    <xf numFmtId="0" fontId="14" fillId="0" borderId="0" xfId="0" applyFont="1" applyAlignment="1">
      <alignment horizontal="right"/>
    </xf>
    <xf numFmtId="0" fontId="48" fillId="0" borderId="0" xfId="0" applyFont="1" applyAlignment="1">
      <alignment horizontal="left" vertical="center"/>
    </xf>
    <xf numFmtId="0" fontId="50" fillId="0" borderId="0" xfId="0" applyFont="1" applyAlignment="1">
      <alignment horizontal="left" vertical="center" wrapText="1"/>
    </xf>
    <xf numFmtId="49" fontId="17" fillId="0" borderId="0" xfId="0" quotePrefix="1" applyNumberFormat="1" applyFont="1" applyFill="1"/>
    <xf numFmtId="49" fontId="31" fillId="4" borderId="0" xfId="0" quotePrefix="1" applyNumberFormat="1" applyFont="1" applyFill="1" applyAlignment="1">
      <alignment horizontal="left"/>
    </xf>
    <xf numFmtId="49" fontId="33" fillId="2" borderId="0" xfId="0" quotePrefix="1" applyNumberFormat="1" applyFont="1" applyFill="1" applyBorder="1" applyAlignment="1">
      <alignment horizontal="center"/>
    </xf>
    <xf numFmtId="0" fontId="33" fillId="2" borderId="23" xfId="0" applyFont="1" applyFill="1" applyBorder="1"/>
    <xf numFmtId="0" fontId="33" fillId="2" borderId="14" xfId="0" applyFont="1" applyFill="1" applyBorder="1"/>
    <xf numFmtId="0" fontId="18" fillId="2" borderId="15" xfId="0" applyFont="1" applyFill="1" applyBorder="1"/>
    <xf numFmtId="0" fontId="34" fillId="2" borderId="13" xfId="0" quotePrefix="1" applyFont="1" applyFill="1" applyBorder="1" applyAlignment="1">
      <alignment horizontal="left" indent="2"/>
    </xf>
    <xf numFmtId="0" fontId="17" fillId="0" borderId="0" xfId="0" quotePrefix="1" applyFont="1" applyFill="1" applyAlignment="1">
      <alignment horizontal="left" vertical="center" indent="1"/>
    </xf>
    <xf numFmtId="43" fontId="17" fillId="0" borderId="0" xfId="0" applyNumberFormat="1" applyFont="1" applyBorder="1"/>
    <xf numFmtId="0" fontId="18" fillId="2" borderId="0" xfId="0" quotePrefix="1" applyFont="1" applyFill="1" applyBorder="1" applyAlignment="1">
      <alignment vertical="top" wrapText="1"/>
    </xf>
    <xf numFmtId="0" fontId="18" fillId="2" borderId="14" xfId="0" quotePrefix="1" applyFont="1" applyFill="1" applyBorder="1" applyAlignment="1">
      <alignment vertical="top" wrapText="1"/>
    </xf>
    <xf numFmtId="43" fontId="34" fillId="0" borderId="0" xfId="0" quotePrefix="1" applyNumberFormat="1" applyFont="1" applyAlignment="1">
      <alignment horizontal="left"/>
    </xf>
    <xf numFmtId="0" fontId="2" fillId="0" borderId="0" xfId="12"/>
    <xf numFmtId="0" fontId="2" fillId="0" borderId="0" xfId="12" applyAlignment="1">
      <alignment horizontal="center"/>
    </xf>
    <xf numFmtId="43" fontId="0" fillId="0" borderId="0" xfId="13" applyFont="1"/>
    <xf numFmtId="43" fontId="2" fillId="0" borderId="0" xfId="12" applyNumberFormat="1"/>
    <xf numFmtId="43" fontId="3" fillId="0" borderId="0" xfId="13" applyFont="1"/>
    <xf numFmtId="0" fontId="52" fillId="0" borderId="0" xfId="12" applyFont="1"/>
    <xf numFmtId="43" fontId="52" fillId="0" borderId="0" xfId="12" applyNumberFormat="1" applyFont="1"/>
    <xf numFmtId="43" fontId="52" fillId="0" borderId="1" xfId="12" applyNumberFormat="1" applyFont="1" applyBorder="1"/>
    <xf numFmtId="0" fontId="51" fillId="0" borderId="0" xfId="12" applyFont="1"/>
    <xf numFmtId="0" fontId="51" fillId="0" borderId="0" xfId="12" applyFont="1" applyAlignment="1">
      <alignment horizontal="center"/>
    </xf>
    <xf numFmtId="0" fontId="51" fillId="0" borderId="0" xfId="12" applyFont="1" applyAlignment="1">
      <alignment horizontal="center" wrapText="1"/>
    </xf>
    <xf numFmtId="0" fontId="52" fillId="0" borderId="0" xfId="12" applyFont="1" applyAlignment="1">
      <alignment horizontal="right"/>
    </xf>
    <xf numFmtId="49" fontId="18" fillId="2" borderId="0" xfId="0" quotePrefix="1" applyNumberFormat="1" applyFont="1" applyFill="1" applyAlignment="1">
      <alignment horizontal="center"/>
    </xf>
    <xf numFmtId="43" fontId="52" fillId="0" borderId="0" xfId="1" applyFont="1"/>
    <xf numFmtId="43" fontId="2" fillId="0" borderId="0" xfId="12" applyNumberFormat="1" applyFill="1"/>
    <xf numFmtId="43" fontId="3" fillId="0" borderId="0" xfId="1" applyFont="1"/>
    <xf numFmtId="43" fontId="55" fillId="0" borderId="0" xfId="1" applyFont="1"/>
    <xf numFmtId="43" fontId="55" fillId="0" borderId="0" xfId="13" applyFont="1"/>
    <xf numFmtId="0" fontId="52" fillId="0" borderId="0" xfId="12" applyFont="1" applyAlignment="1">
      <alignment horizontal="left"/>
    </xf>
    <xf numFmtId="43" fontId="53" fillId="0" borderId="0" xfId="13" applyFont="1" applyAlignment="1">
      <alignment horizontal="center"/>
    </xf>
    <xf numFmtId="43" fontId="54" fillId="0" borderId="0" xfId="1" applyFont="1" applyAlignment="1">
      <alignment horizontal="center"/>
    </xf>
    <xf numFmtId="4" fontId="14" fillId="0" borderId="0" xfId="0" quotePrefix="1" applyNumberFormat="1" applyFont="1" applyAlignment="1">
      <alignment horizontal="center"/>
    </xf>
    <xf numFmtId="0" fontId="14" fillId="0" borderId="0" xfId="0" applyFont="1" applyAlignment="1">
      <alignment horizontal="center"/>
    </xf>
    <xf numFmtId="0" fontId="14" fillId="0" borderId="0" xfId="0" applyFont="1" applyAlignment="1">
      <alignment horizontal="left"/>
    </xf>
    <xf numFmtId="0" fontId="14" fillId="0" borderId="0" xfId="0" quotePrefix="1" applyFont="1" applyAlignment="1">
      <alignment horizontal="left"/>
    </xf>
    <xf numFmtId="0" fontId="14" fillId="2" borderId="0" xfId="0" applyFont="1" applyFill="1" applyAlignment="1">
      <alignment horizontal="right"/>
    </xf>
    <xf numFmtId="0" fontId="14" fillId="2" borderId="0" xfId="0" applyFont="1" applyFill="1" applyAlignment="1">
      <alignment horizontal="left"/>
    </xf>
    <xf numFmtId="0" fontId="14" fillId="2" borderId="0" xfId="0" quotePrefix="1" applyFont="1" applyFill="1" applyAlignment="1">
      <alignment horizontal="left"/>
    </xf>
    <xf numFmtId="0" fontId="14" fillId="2" borderId="0" xfId="0" applyFont="1" applyFill="1" applyAlignment="1">
      <alignment horizontal="center"/>
    </xf>
    <xf numFmtId="41" fontId="14" fillId="2" borderId="0" xfId="0" applyNumberFormat="1" applyFont="1" applyFill="1" applyBorder="1"/>
    <xf numFmtId="41" fontId="14" fillId="2" borderId="5" xfId="0" applyNumberFormat="1" applyFont="1" applyFill="1" applyBorder="1"/>
    <xf numFmtId="43" fontId="31" fillId="4" borderId="0" xfId="7" applyNumberFormat="1" applyFont="1" applyFill="1"/>
    <xf numFmtId="43" fontId="2" fillId="0" borderId="0" xfId="1" applyFont="1"/>
    <xf numFmtId="0" fontId="56" fillId="0" borderId="0" xfId="12" applyFont="1"/>
    <xf numFmtId="43" fontId="0" fillId="0" borderId="0" xfId="13" applyFont="1" applyFill="1"/>
    <xf numFmtId="43" fontId="52" fillId="0" borderId="0" xfId="1" applyFont="1" applyFill="1"/>
    <xf numFmtId="43" fontId="2" fillId="0" borderId="0" xfId="1" applyFont="1" applyFill="1"/>
    <xf numFmtId="43" fontId="14" fillId="0" borderId="0" xfId="0" applyNumberFormat="1" applyFont="1" applyAlignment="1">
      <alignment horizontal="right"/>
    </xf>
    <xf numFmtId="49" fontId="15" fillId="0" borderId="0" xfId="0" applyNumberFormat="1" applyFont="1"/>
    <xf numFmtId="43" fontId="0" fillId="3" borderId="0" xfId="13" applyFont="1" applyFill="1"/>
    <xf numFmtId="0" fontId="2" fillId="3" borderId="0" xfId="12" applyFill="1"/>
    <xf numFmtId="0" fontId="2" fillId="3" borderId="0" xfId="12" applyFill="1" applyAlignment="1">
      <alignment horizontal="center"/>
    </xf>
    <xf numFmtId="43" fontId="2" fillId="3" borderId="0" xfId="12" applyNumberFormat="1" applyFill="1"/>
    <xf numFmtId="49" fontId="17" fillId="0" borderId="0" xfId="7" quotePrefix="1" applyNumberFormat="1" applyFont="1" applyFill="1" applyAlignment="1">
      <alignment horizontal="left" indent="1"/>
    </xf>
    <xf numFmtId="0" fontId="1" fillId="0" borderId="0" xfId="12" applyFont="1" applyFill="1"/>
    <xf numFmtId="0" fontId="2" fillId="0" borderId="0" xfId="12" applyFill="1"/>
    <xf numFmtId="0" fontId="57" fillId="0" borderId="0" xfId="12" applyFont="1"/>
    <xf numFmtId="0" fontId="57" fillId="0" borderId="0" xfId="12" applyFont="1" applyAlignment="1">
      <alignment horizontal="center"/>
    </xf>
    <xf numFmtId="43" fontId="58" fillId="0" borderId="0" xfId="13" applyFont="1"/>
    <xf numFmtId="43" fontId="58" fillId="0" borderId="0" xfId="13" applyFont="1" applyFill="1"/>
    <xf numFmtId="43" fontId="59" fillId="0" borderId="0" xfId="13" applyFont="1"/>
    <xf numFmtId="1" fontId="9" fillId="0" borderId="0" xfId="0" quotePrefix="1" applyNumberFormat="1" applyFont="1" applyAlignment="1">
      <alignment horizontal="left"/>
    </xf>
    <xf numFmtId="43" fontId="55" fillId="0" borderId="0" xfId="13" applyFont="1" applyFill="1"/>
    <xf numFmtId="0" fontId="14" fillId="0" borderId="0" xfId="0" quotePrefix="1" applyFont="1" applyAlignment="1">
      <alignment horizontal="left"/>
    </xf>
    <xf numFmtId="0" fontId="14" fillId="2" borderId="0" xfId="0" quotePrefix="1" applyFont="1" applyFill="1" applyAlignment="1">
      <alignment horizontal="left"/>
    </xf>
    <xf numFmtId="49" fontId="18" fillId="2" borderId="7" xfId="0" quotePrefix="1" applyNumberFormat="1" applyFont="1" applyFill="1" applyBorder="1" applyAlignment="1">
      <alignment wrapText="1"/>
    </xf>
    <xf numFmtId="49" fontId="18" fillId="2" borderId="0" xfId="0" quotePrefix="1" applyNumberFormat="1" applyFont="1" applyFill="1" applyBorder="1" applyAlignment="1">
      <alignment wrapText="1"/>
    </xf>
    <xf numFmtId="49" fontId="18" fillId="2" borderId="14" xfId="0" quotePrefix="1" applyNumberFormat="1" applyFont="1" applyFill="1" applyBorder="1" applyAlignment="1">
      <alignment wrapText="1"/>
    </xf>
    <xf numFmtId="49" fontId="18" fillId="2" borderId="7" xfId="0" quotePrefix="1" applyNumberFormat="1" applyFont="1" applyFill="1" applyBorder="1" applyAlignment="1"/>
    <xf numFmtId="0" fontId="18"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2" fontId="39" fillId="0" borderId="0" xfId="0" applyNumberFormat="1" applyFont="1" applyAlignment="1">
      <alignment horizontal="left" indent="3"/>
    </xf>
    <xf numFmtId="4" fontId="14" fillId="0" borderId="0" xfId="0" quotePrefix="1" applyNumberFormat="1" applyFont="1" applyAlignment="1">
      <alignment horizontal="center"/>
    </xf>
    <xf numFmtId="0" fontId="37" fillId="0" borderId="0" xfId="0" quotePrefix="1" applyFont="1" applyAlignment="1">
      <alignment horizontal="right"/>
    </xf>
    <xf numFmtId="0" fontId="37" fillId="0" borderId="0" xfId="0" applyFont="1" applyAlignment="1">
      <alignment horizontal="right"/>
    </xf>
    <xf numFmtId="0" fontId="48" fillId="0" borderId="0" xfId="0" applyFont="1" applyAlignment="1">
      <alignment horizontal="left" vertical="center"/>
    </xf>
    <xf numFmtId="0" fontId="48" fillId="0" borderId="0" xfId="0" applyFont="1" applyAlignment="1">
      <alignment horizontal="left" vertical="center" wrapText="1"/>
    </xf>
    <xf numFmtId="0" fontId="14" fillId="0" borderId="6" xfId="0" applyFont="1" applyBorder="1" applyAlignment="1">
      <alignment horizontal="left" indent="2"/>
    </xf>
    <xf numFmtId="7" fontId="14" fillId="0" borderId="6" xfId="0" applyNumberFormat="1" applyFont="1" applyBorder="1" applyAlignment="1">
      <alignment horizontal="right"/>
    </xf>
    <xf numFmtId="0" fontId="14" fillId="0" borderId="0" xfId="0" applyFont="1" applyAlignment="1">
      <alignment horizontal="center"/>
    </xf>
    <xf numFmtId="0" fontId="14" fillId="0" borderId="1" xfId="0" applyFont="1" applyBorder="1" applyAlignment="1">
      <alignment horizontal="center"/>
    </xf>
    <xf numFmtId="0" fontId="14" fillId="0" borderId="0" xfId="0" quotePrefix="1" applyFont="1" applyAlignment="1">
      <alignment horizontal="center"/>
    </xf>
    <xf numFmtId="0" fontId="15" fillId="0" borderId="7" xfId="0" applyFont="1" applyBorder="1" applyAlignment="1">
      <alignment horizontal="left"/>
    </xf>
    <xf numFmtId="0" fontId="15" fillId="0" borderId="0" xfId="0" applyFont="1" applyAlignment="1">
      <alignment horizontal="left"/>
    </xf>
    <xf numFmtId="4" fontId="14" fillId="0" borderId="0" xfId="0" applyNumberFormat="1" applyFont="1"/>
    <xf numFmtId="4" fontId="15" fillId="0" borderId="0" xfId="0" applyNumberFormat="1" applyFont="1" applyAlignment="1">
      <alignment horizontal="left"/>
    </xf>
    <xf numFmtId="4" fontId="14" fillId="0" borderId="0" xfId="0" quotePrefix="1" applyNumberFormat="1" applyFont="1" applyAlignment="1">
      <alignment horizontal="left"/>
    </xf>
    <xf numFmtId="168" fontId="14" fillId="0" borderId="0" xfId="0" applyNumberFormat="1" applyFont="1" applyAlignment="1">
      <alignment horizontal="center" wrapText="1"/>
    </xf>
    <xf numFmtId="0" fontId="14" fillId="0" borderId="1" xfId="0" applyFont="1" applyBorder="1" applyAlignment="1">
      <alignment horizontal="left" wrapText="1"/>
    </xf>
    <xf numFmtId="168" fontId="14" fillId="0" borderId="1" xfId="0" applyNumberFormat="1" applyFont="1" applyBorder="1" applyAlignment="1">
      <alignment horizontal="center" wrapText="1"/>
    </xf>
    <xf numFmtId="0" fontId="14" fillId="0" borderId="1" xfId="0" quotePrefix="1" applyFont="1" applyBorder="1" applyAlignment="1">
      <alignment horizontal="center"/>
    </xf>
    <xf numFmtId="168" fontId="14" fillId="0" borderId="1" xfId="0" quotePrefix="1" applyNumberFormat="1" applyFont="1" applyBorder="1" applyAlignment="1">
      <alignment horizontal="center"/>
    </xf>
    <xf numFmtId="0" fontId="14" fillId="0" borderId="6" xfId="0" applyFont="1" applyBorder="1" applyAlignment="1">
      <alignment horizontal="left"/>
    </xf>
    <xf numFmtId="168" fontId="14" fillId="0" borderId="6" xfId="0" applyNumberFormat="1" applyFont="1" applyBorder="1" applyAlignment="1">
      <alignment horizontal="center"/>
    </xf>
    <xf numFmtId="0" fontId="14" fillId="0" borderId="0" xfId="0" applyFont="1" applyAlignment="1">
      <alignment horizontal="left"/>
    </xf>
    <xf numFmtId="168" fontId="14" fillId="0" borderId="0" xfId="0" applyNumberFormat="1" applyFont="1" applyAlignment="1">
      <alignment horizontal="center"/>
    </xf>
    <xf numFmtId="0" fontId="14" fillId="0" borderId="0" xfId="0" quotePrefix="1" applyFont="1" applyAlignment="1">
      <alignment horizontal="left" indent="2"/>
    </xf>
    <xf numFmtId="0" fontId="14" fillId="0" borderId="0" xfId="0" applyFont="1" applyAlignment="1">
      <alignment horizontal="left" indent="2"/>
    </xf>
    <xf numFmtId="2" fontId="14" fillId="0" borderId="0" xfId="0" applyNumberFormat="1" applyFont="1" applyAlignment="1">
      <alignment horizontal="center"/>
    </xf>
    <xf numFmtId="0" fontId="14" fillId="0" borderId="0" xfId="0" applyFont="1" applyAlignment="1">
      <alignment horizontal="left" wrapText="1"/>
    </xf>
    <xf numFmtId="0" fontId="14" fillId="0" borderId="0" xfId="0" quotePrefix="1" applyFont="1" applyAlignment="1">
      <alignment horizontal="left"/>
    </xf>
    <xf numFmtId="0" fontId="37" fillId="0" borderId="0" xfId="0" quotePrefix="1" applyFont="1" applyAlignment="1">
      <alignment horizontal="center"/>
    </xf>
    <xf numFmtId="174" fontId="14" fillId="0" borderId="9" xfId="0" applyNumberFormat="1" applyFont="1" applyBorder="1"/>
    <xf numFmtId="0" fontId="14" fillId="0" borderId="0" xfId="0" quotePrefix="1" applyFont="1" applyAlignment="1">
      <alignment horizontal="left" wrapText="1"/>
    </xf>
    <xf numFmtId="0" fontId="16" fillId="0" borderId="6" xfId="0" applyFont="1" applyBorder="1" applyAlignment="1">
      <alignment horizontal="left" vertical="center" wrapText="1"/>
    </xf>
    <xf numFmtId="0" fontId="16" fillId="0" borderId="0" xfId="0" applyFont="1" applyAlignment="1">
      <alignment horizontal="left" vertical="center" wrapText="1"/>
    </xf>
    <xf numFmtId="0" fontId="14" fillId="0" borderId="0" xfId="0" applyFont="1" applyAlignment="1">
      <alignment horizontal="right"/>
    </xf>
    <xf numFmtId="0" fontId="49" fillId="0" borderId="0" xfId="0" applyFont="1" applyFill="1" applyAlignment="1">
      <alignment horizontal="left" vertical="center" wrapText="1"/>
    </xf>
    <xf numFmtId="0" fontId="48" fillId="0" borderId="0" xfId="0" applyFont="1" applyFill="1" applyAlignment="1">
      <alignment horizontal="left" vertical="center" wrapText="1"/>
    </xf>
    <xf numFmtId="0" fontId="50" fillId="0" borderId="0" xfId="0" applyFont="1" applyAlignment="1">
      <alignment horizontal="left" vertical="center" wrapText="1"/>
    </xf>
    <xf numFmtId="0" fontId="49" fillId="0" borderId="0" xfId="0" applyFont="1" applyAlignment="1">
      <alignment horizontal="left" vertical="center" wrapText="1"/>
    </xf>
    <xf numFmtId="0" fontId="50" fillId="0" borderId="0" xfId="0" applyFont="1" applyAlignment="1">
      <alignment horizontal="left" vertical="center"/>
    </xf>
    <xf numFmtId="174" fontId="14" fillId="0" borderId="0" xfId="0" applyNumberFormat="1" applyFont="1"/>
    <xf numFmtId="3" fontId="14" fillId="0" borderId="0" xfId="0" quotePrefix="1" applyNumberFormat="1" applyFont="1" applyAlignment="1">
      <alignment horizontal="center"/>
    </xf>
    <xf numFmtId="7" fontId="14" fillId="0" borderId="0" xfId="0" applyNumberFormat="1" applyFont="1" applyAlignment="1">
      <alignment horizontal="right"/>
    </xf>
    <xf numFmtId="0" fontId="14" fillId="9" borderId="1" xfId="0" applyFont="1" applyFill="1" applyBorder="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2" fontId="14" fillId="2" borderId="22" xfId="0" applyNumberFormat="1" applyFont="1" applyFill="1" applyBorder="1" applyAlignment="1">
      <alignment horizontal="center"/>
    </xf>
    <xf numFmtId="0" fontId="14" fillId="2" borderId="0" xfId="0" applyFont="1" applyFill="1" applyAlignment="1">
      <alignment horizontal="right"/>
    </xf>
    <xf numFmtId="4" fontId="23" fillId="2" borderId="0" xfId="0" applyNumberFormat="1" applyFont="1" applyFill="1" applyAlignment="1">
      <alignment horizontal="left"/>
    </xf>
    <xf numFmtId="166" fontId="19" fillId="2" borderId="0" xfId="0" applyNumberFormat="1" applyFont="1" applyFill="1" applyAlignment="1">
      <alignment horizontal="left"/>
    </xf>
    <xf numFmtId="168" fontId="14" fillId="2" borderId="0" xfId="0" quotePrefix="1" applyNumberFormat="1" applyFont="1" applyFill="1" applyAlignment="1">
      <alignment horizontal="left"/>
    </xf>
    <xf numFmtId="168" fontId="14" fillId="2" borderId="0" xfId="0" applyNumberFormat="1" applyFont="1" applyFill="1" applyAlignment="1">
      <alignment horizontal="left"/>
    </xf>
    <xf numFmtId="0" fontId="20" fillId="2" borderId="5" xfId="0" applyFont="1" applyFill="1" applyBorder="1" applyAlignment="1">
      <alignment horizontal="center"/>
    </xf>
    <xf numFmtId="0" fontId="14" fillId="2" borderId="1" xfId="0" applyFont="1" applyFill="1" applyBorder="1" applyAlignment="1">
      <alignment horizontal="center"/>
    </xf>
    <xf numFmtId="0" fontId="20" fillId="2" borderId="1" xfId="0" applyFont="1" applyFill="1" applyBorder="1" applyAlignment="1">
      <alignment horizontal="center"/>
    </xf>
    <xf numFmtId="169" fontId="37" fillId="2" borderId="0" xfId="0" applyNumberFormat="1" applyFont="1" applyFill="1" applyAlignment="1">
      <alignment horizontal="center"/>
    </xf>
    <xf numFmtId="165" fontId="14" fillId="2" borderId="7" xfId="4" applyFont="1" applyFill="1" applyBorder="1" applyAlignment="1">
      <alignment horizontal="right"/>
    </xf>
    <xf numFmtId="165" fontId="14" fillId="2" borderId="0" xfId="4" applyFont="1" applyFill="1" applyBorder="1" applyAlignment="1">
      <alignment horizontal="right"/>
    </xf>
    <xf numFmtId="2" fontId="24" fillId="2" borderId="0" xfId="0" applyNumberFormat="1" applyFont="1" applyFill="1" applyAlignment="1">
      <alignment horizontal="left"/>
    </xf>
    <xf numFmtId="4" fontId="14" fillId="2" borderId="0" xfId="0" quotePrefix="1" applyNumberFormat="1" applyFont="1" applyFill="1" applyAlignment="1">
      <alignment horizontal="left"/>
    </xf>
    <xf numFmtId="0" fontId="14" fillId="2" borderId="1" xfId="0" applyFont="1" applyFill="1" applyBorder="1" applyAlignment="1">
      <alignment horizontal="left"/>
    </xf>
    <xf numFmtId="2" fontId="14" fillId="2" borderId="0" xfId="0" applyNumberFormat="1" applyFont="1" applyFill="1" applyAlignment="1">
      <alignment horizontal="center"/>
    </xf>
    <xf numFmtId="0" fontId="16" fillId="2" borderId="6" xfId="0" applyFont="1" applyFill="1" applyBorder="1" applyAlignment="1">
      <alignment horizontal="left" vertical="center" wrapText="1"/>
    </xf>
    <xf numFmtId="0" fontId="16" fillId="2" borderId="0" xfId="0" applyFont="1" applyFill="1" applyAlignment="1">
      <alignment horizontal="left" vertical="center" wrapText="1"/>
    </xf>
    <xf numFmtId="2" fontId="21" fillId="2" borderId="1" xfId="0" applyNumberFormat="1" applyFont="1" applyFill="1" applyBorder="1" applyAlignment="1">
      <alignment horizontal="center"/>
    </xf>
    <xf numFmtId="4" fontId="20" fillId="2" borderId="1" xfId="0" applyNumberFormat="1" applyFont="1" applyFill="1" applyBorder="1" applyAlignment="1">
      <alignment horizontal="center" wrapText="1"/>
    </xf>
    <xf numFmtId="4" fontId="20" fillId="2" borderId="5" xfId="0" applyNumberFormat="1" applyFont="1" applyFill="1" applyBorder="1" applyAlignment="1">
      <alignment horizontal="center" wrapText="1"/>
    </xf>
    <xf numFmtId="4" fontId="20" fillId="2" borderId="21" xfId="0" applyNumberFormat="1" applyFont="1" applyFill="1" applyBorder="1" applyAlignment="1">
      <alignment horizontal="center" wrapText="1"/>
    </xf>
    <xf numFmtId="0" fontId="18" fillId="2" borderId="0" xfId="0" applyFont="1" applyFill="1" applyAlignment="1">
      <alignment horizontal="left"/>
    </xf>
    <xf numFmtId="0" fontId="18" fillId="0" borderId="0" xfId="0" applyFont="1" applyAlignment="1">
      <alignment horizontal="left"/>
    </xf>
    <xf numFmtId="0" fontId="32" fillId="2" borderId="0" xfId="0" applyFont="1" applyFill="1" applyAlignment="1">
      <alignment horizontal="left"/>
    </xf>
    <xf numFmtId="0" fontId="14" fillId="2" borderId="0" xfId="0" applyFont="1" applyFill="1" applyAlignment="1">
      <alignment horizontal="center"/>
    </xf>
    <xf numFmtId="7" fontId="14" fillId="2" borderId="6" xfId="0" applyNumberFormat="1" applyFont="1" applyFill="1" applyBorder="1" applyAlignment="1">
      <alignment horizontal="right"/>
    </xf>
    <xf numFmtId="7" fontId="14" fillId="2" borderId="0" xfId="0" applyNumberFormat="1" applyFont="1" applyFill="1" applyAlignment="1">
      <alignment horizontal="right"/>
    </xf>
    <xf numFmtId="0" fontId="20" fillId="2" borderId="0" xfId="0" applyFont="1" applyFill="1" applyAlignment="1">
      <alignment horizontal="right"/>
    </xf>
    <xf numFmtId="0" fontId="23" fillId="2" borderId="0" xfId="0" applyFont="1" applyFill="1" applyAlignment="1">
      <alignment horizontal="right"/>
    </xf>
    <xf numFmtId="0" fontId="23" fillId="2" borderId="0" xfId="0" quotePrefix="1" applyFont="1" applyFill="1" applyAlignment="1">
      <alignment horizontal="center"/>
    </xf>
    <xf numFmtId="0" fontId="23" fillId="2" borderId="0" xfId="0" applyFont="1" applyFill="1" applyAlignment="1">
      <alignment horizontal="center"/>
    </xf>
    <xf numFmtId="168" fontId="18" fillId="2" borderId="0" xfId="0" quotePrefix="1" applyNumberFormat="1" applyFont="1" applyFill="1" applyAlignment="1">
      <alignment horizontal="left"/>
    </xf>
    <xf numFmtId="168" fontId="18" fillId="2" borderId="0" xfId="0" applyNumberFormat="1" applyFont="1" applyFill="1" applyAlignment="1">
      <alignment horizontal="left"/>
    </xf>
    <xf numFmtId="168" fontId="43" fillId="2" borderId="0" xfId="0" quotePrefix="1" applyNumberFormat="1" applyFont="1" applyFill="1" applyAlignment="1">
      <alignment horizontal="left"/>
    </xf>
    <xf numFmtId="168" fontId="43" fillId="2" borderId="0" xfId="0" applyNumberFormat="1" applyFont="1" applyFill="1" applyAlignment="1">
      <alignment horizontal="left"/>
    </xf>
    <xf numFmtId="0" fontId="14" fillId="2" borderId="0" xfId="0" quotePrefix="1" applyFont="1" applyFill="1" applyAlignment="1">
      <alignment horizontal="left" wrapText="1"/>
    </xf>
    <xf numFmtId="0" fontId="14" fillId="2" borderId="1" xfId="0" applyFont="1" applyFill="1" applyBorder="1" applyAlignment="1">
      <alignment horizontal="left" wrapText="1"/>
    </xf>
    <xf numFmtId="2" fontId="20" fillId="2" borderId="1" xfId="0" applyNumberFormat="1" applyFont="1" applyFill="1" applyBorder="1" applyAlignment="1">
      <alignment horizontal="center"/>
    </xf>
    <xf numFmtId="0" fontId="14" fillId="2" borderId="6" xfId="0" applyFont="1" applyFill="1" applyBorder="1" applyAlignment="1">
      <alignment horizontal="left"/>
    </xf>
    <xf numFmtId="2" fontId="20" fillId="2" borderId="5" xfId="0" applyNumberFormat="1" applyFont="1" applyFill="1" applyBorder="1" applyAlignment="1">
      <alignment horizontal="center"/>
    </xf>
    <xf numFmtId="168" fontId="14" fillId="2" borderId="1" xfId="0" applyNumberFormat="1" applyFont="1" applyFill="1" applyBorder="1" applyAlignment="1">
      <alignment horizontal="center"/>
    </xf>
    <xf numFmtId="0" fontId="14" fillId="2" borderId="6" xfId="0" applyFont="1" applyFill="1" applyBorder="1" applyAlignment="1">
      <alignment horizontal="right"/>
    </xf>
    <xf numFmtId="2" fontId="19" fillId="2" borderId="1" xfId="0" applyNumberFormat="1" applyFont="1" applyFill="1" applyBorder="1" applyAlignment="1">
      <alignment horizontal="center"/>
    </xf>
    <xf numFmtId="0" fontId="14" fillId="2" borderId="0" xfId="0" applyFont="1" applyFill="1" applyAlignment="1">
      <alignment horizontal="left" wrapText="1"/>
    </xf>
    <xf numFmtId="168" fontId="14" fillId="2" borderId="0" xfId="0" applyNumberFormat="1" applyFont="1" applyFill="1" applyAlignment="1">
      <alignment horizontal="center"/>
    </xf>
    <xf numFmtId="0" fontId="16" fillId="2" borderId="0" xfId="0" quotePrefix="1" applyFont="1" applyFill="1" applyAlignment="1">
      <alignment horizontal="left"/>
    </xf>
    <xf numFmtId="0" fontId="16" fillId="2" borderId="0" xfId="0" applyFont="1" applyFill="1" applyAlignment="1">
      <alignment horizontal="left"/>
    </xf>
    <xf numFmtId="169" fontId="16" fillId="2" borderId="0" xfId="0" applyNumberFormat="1" applyFont="1" applyFill="1" applyAlignment="1">
      <alignment horizontal="left"/>
    </xf>
    <xf numFmtId="168" fontId="14" fillId="2" borderId="0" xfId="0" applyNumberFormat="1" applyFont="1" applyFill="1" applyAlignment="1">
      <alignment horizontal="center" wrapText="1"/>
    </xf>
    <xf numFmtId="0" fontId="21" fillId="2" borderId="1" xfId="0" applyFont="1" applyFill="1" applyBorder="1" applyAlignment="1">
      <alignment horizontal="center" wrapText="1"/>
    </xf>
    <xf numFmtId="168" fontId="14" fillId="2" borderId="1" xfId="0" applyNumberFormat="1" applyFont="1" applyFill="1" applyBorder="1" applyAlignment="1">
      <alignment horizontal="center" wrapText="1"/>
    </xf>
    <xf numFmtId="0" fontId="14" fillId="2" borderId="1" xfId="0" quotePrefix="1" applyFont="1" applyFill="1" applyBorder="1" applyAlignment="1">
      <alignment horizontal="center"/>
    </xf>
    <xf numFmtId="0" fontId="21" fillId="2" borderId="1" xfId="0" quotePrefix="1" applyFont="1" applyFill="1" applyBorder="1" applyAlignment="1">
      <alignment horizontal="center"/>
    </xf>
    <xf numFmtId="168" fontId="14" fillId="2" borderId="1" xfId="0" quotePrefix="1" applyNumberFormat="1" applyFont="1" applyFill="1" applyBorder="1" applyAlignment="1">
      <alignment horizontal="center"/>
    </xf>
    <xf numFmtId="168" fontId="14"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3" fillId="2" borderId="0" xfId="0" applyFont="1" applyFill="1" applyAlignment="1">
      <alignment horizontal="center"/>
    </xf>
    <xf numFmtId="4" fontId="14" fillId="2" borderId="0" xfId="0" applyNumberFormat="1" applyFont="1" applyFill="1" applyAlignment="1">
      <alignment horizontal="left"/>
    </xf>
    <xf numFmtId="4" fontId="15" fillId="2" borderId="0" xfId="0" applyNumberFormat="1" applyFont="1" applyFill="1" applyAlignment="1">
      <alignment horizontal="left"/>
    </xf>
    <xf numFmtId="168" fontId="14" fillId="6" borderId="0" xfId="0" applyNumberFormat="1" applyFont="1" applyFill="1" applyAlignment="1">
      <alignment horizontal="center"/>
    </xf>
    <xf numFmtId="4" fontId="14" fillId="0" borderId="0" xfId="0" applyNumberFormat="1" applyFont="1" applyAlignment="1">
      <alignment horizontal="left"/>
    </xf>
    <xf numFmtId="0" fontId="16" fillId="2" borderId="0" xfId="0" applyFont="1" applyFill="1" applyAlignment="1">
      <alignment horizontal="center"/>
    </xf>
    <xf numFmtId="7" fontId="17" fillId="2" borderId="0" xfId="0" applyNumberFormat="1" applyFont="1" applyFill="1" applyAlignment="1">
      <alignment horizontal="center"/>
    </xf>
    <xf numFmtId="168" fontId="14"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0" fontId="5" fillId="2" borderId="0" xfId="0" quotePrefix="1" applyFont="1" applyFill="1" applyAlignment="1">
      <alignment horizontal="center"/>
    </xf>
    <xf numFmtId="0" fontId="14" fillId="2" borderId="0" xfId="0" quotePrefix="1" applyFont="1" applyFill="1" applyAlignment="1"/>
    <xf numFmtId="0" fontId="14" fillId="2" borderId="0" xfId="0" applyFont="1" applyFill="1" applyAlignment="1"/>
    <xf numFmtId="7" fontId="14"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26"/>
  <sheetViews>
    <sheetView tabSelected="1" workbookViewId="0">
      <selection activeCell="C5" sqref="C5"/>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19.14062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56" t="s">
        <v>515</v>
      </c>
      <c r="C1" s="216"/>
      <c r="I1" s="243"/>
    </row>
    <row r="2" spans="1:9" ht="12.75" customHeight="1" x14ac:dyDescent="0.2">
      <c r="B2" s="237" t="str">
        <f>'1461'!A3</f>
        <v>Based on the FLDOE 2024-25 Second Calculation</v>
      </c>
      <c r="C2" s="217"/>
      <c r="E2" s="229"/>
      <c r="F2" s="239"/>
      <c r="G2" s="229"/>
      <c r="I2" s="252"/>
    </row>
    <row r="3" spans="1:9" ht="12.75" customHeight="1" thickBot="1" x14ac:dyDescent="0.25">
      <c r="B3" s="190"/>
      <c r="C3" s="217"/>
      <c r="E3" s="229"/>
      <c r="F3" s="564"/>
      <c r="G3" s="564"/>
      <c r="I3" s="252"/>
    </row>
    <row r="4" spans="1:9" ht="12.75" customHeight="1" thickBot="1" x14ac:dyDescent="0.25">
      <c r="A4" s="191"/>
      <c r="B4" s="192" t="s">
        <v>157</v>
      </c>
      <c r="C4" s="220" t="s">
        <v>227</v>
      </c>
      <c r="D4" s="193" t="s">
        <v>158</v>
      </c>
      <c r="E4" s="233" t="s">
        <v>2</v>
      </c>
      <c r="F4" s="270" t="s">
        <v>251</v>
      </c>
      <c r="G4" s="233" t="s">
        <v>232</v>
      </c>
      <c r="I4" s="315" t="s">
        <v>278</v>
      </c>
    </row>
    <row r="5" spans="1:9" s="260" customFormat="1" ht="13.5" customHeight="1" x14ac:dyDescent="0.2">
      <c r="A5" s="198">
        <v>1</v>
      </c>
      <c r="B5" s="199" t="s">
        <v>159</v>
      </c>
      <c r="C5" s="219" t="s">
        <v>191</v>
      </c>
      <c r="D5" s="494" t="s">
        <v>520</v>
      </c>
      <c r="E5" s="200">
        <f>'1461'!I$145</f>
        <v>544837.4</v>
      </c>
      <c r="F5" s="326"/>
      <c r="G5" s="200">
        <f>SUBTOTAL(109,E5:F26)</f>
        <v>469481.7300000001</v>
      </c>
      <c r="H5" s="259"/>
      <c r="I5" s="334"/>
    </row>
    <row r="6" spans="1:9" s="260" customFormat="1" ht="12.75" hidden="1" customHeight="1" x14ac:dyDescent="0.2">
      <c r="A6" s="198"/>
      <c r="B6" s="199"/>
      <c r="C6" s="219"/>
      <c r="D6" s="232" t="s">
        <v>279</v>
      </c>
      <c r="E6" s="200"/>
      <c r="F6" s="326"/>
      <c r="G6" s="200"/>
      <c r="H6" s="259"/>
      <c r="I6" s="335"/>
    </row>
    <row r="7" spans="1:9" s="260" customFormat="1" ht="12.75" hidden="1" customHeight="1" x14ac:dyDescent="0.2">
      <c r="A7" s="198"/>
      <c r="B7" s="199"/>
      <c r="C7" s="219"/>
      <c r="D7" s="372" t="s">
        <v>473</v>
      </c>
      <c r="E7" s="200"/>
      <c r="F7" s="326"/>
      <c r="G7" s="200"/>
      <c r="H7" s="259"/>
      <c r="I7" s="335"/>
    </row>
    <row r="8" spans="1:9" s="260" customFormat="1" ht="12.75" hidden="1" customHeight="1" x14ac:dyDescent="0.2">
      <c r="A8" s="198"/>
      <c r="B8" s="199"/>
      <c r="C8" s="219"/>
      <c r="D8" s="232" t="s">
        <v>281</v>
      </c>
      <c r="E8" s="200"/>
      <c r="F8" s="326"/>
      <c r="G8" s="200"/>
      <c r="H8" s="259"/>
      <c r="I8" s="373"/>
    </row>
    <row r="9" spans="1:9" s="260" customFormat="1" ht="12.75" hidden="1" customHeight="1" x14ac:dyDescent="0.2">
      <c r="A9" s="198"/>
      <c r="B9" s="199"/>
      <c r="C9" s="219"/>
      <c r="D9" s="232" t="s">
        <v>280</v>
      </c>
      <c r="E9" s="200"/>
      <c r="F9" s="326"/>
      <c r="G9" s="200"/>
      <c r="H9" s="259"/>
      <c r="I9" s="373"/>
    </row>
    <row r="10" spans="1:9" s="260" customFormat="1" ht="12.75" hidden="1" customHeight="1" x14ac:dyDescent="0.2">
      <c r="A10" s="198"/>
      <c r="B10" s="199"/>
      <c r="C10" s="219"/>
      <c r="D10" s="232" t="s">
        <v>289</v>
      </c>
      <c r="E10" s="200"/>
      <c r="F10" s="326"/>
      <c r="G10" s="200"/>
      <c r="H10" s="259"/>
      <c r="I10" s="335"/>
    </row>
    <row r="11" spans="1:9" s="260" customFormat="1" ht="12.75" hidden="1" customHeight="1" x14ac:dyDescent="0.2">
      <c r="A11" s="198"/>
      <c r="B11" s="199"/>
      <c r="C11" s="219"/>
      <c r="D11" s="232" t="s">
        <v>258</v>
      </c>
      <c r="E11" s="200"/>
      <c r="F11" s="326"/>
      <c r="G11" s="200"/>
      <c r="H11" s="259"/>
      <c r="I11" s="338"/>
    </row>
    <row r="12" spans="1:9" s="260" customFormat="1" ht="12.75" customHeight="1" x14ac:dyDescent="0.2">
      <c r="A12" s="198"/>
      <c r="B12" s="199"/>
      <c r="C12" s="228"/>
      <c r="D12" s="279" t="s">
        <v>285</v>
      </c>
      <c r="E12" s="200"/>
      <c r="F12" s="326">
        <v>-69513.88</v>
      </c>
      <c r="G12" s="200"/>
      <c r="H12" s="259"/>
      <c r="I12" s="338"/>
    </row>
    <row r="13" spans="1:9" s="260" customFormat="1" ht="12.75" customHeight="1" x14ac:dyDescent="0.2">
      <c r="A13" s="198"/>
      <c r="B13" s="199"/>
      <c r="C13" s="228"/>
      <c r="D13" s="279" t="s">
        <v>230</v>
      </c>
      <c r="E13" s="200"/>
      <c r="F13" s="326">
        <v>-11300</v>
      </c>
      <c r="G13" s="200"/>
      <c r="H13" s="259"/>
      <c r="I13" s="336" t="s">
        <v>312</v>
      </c>
    </row>
    <row r="14" spans="1:9" s="260" customFormat="1" ht="12.75" customHeight="1" x14ac:dyDescent="0.2">
      <c r="A14" s="198"/>
      <c r="B14" s="199"/>
      <c r="C14" s="228"/>
      <c r="D14" s="279" t="s">
        <v>231</v>
      </c>
      <c r="E14" s="200"/>
      <c r="F14" s="326">
        <v>-266.12</v>
      </c>
      <c r="G14" s="200"/>
      <c r="H14" s="259"/>
      <c r="I14" s="336"/>
    </row>
    <row r="15" spans="1:9" s="260" customFormat="1" ht="12.75" customHeight="1" x14ac:dyDescent="0.2">
      <c r="A15" s="198"/>
      <c r="B15" s="199"/>
      <c r="C15" s="228"/>
      <c r="D15" s="313" t="s">
        <v>434</v>
      </c>
      <c r="E15" s="200"/>
      <c r="F15" s="326">
        <v>-94.48</v>
      </c>
      <c r="G15" s="200"/>
      <c r="H15" s="259"/>
      <c r="I15" s="336"/>
    </row>
    <row r="16" spans="1:9" s="260" customFormat="1" ht="12.75" customHeight="1" thickBot="1" x14ac:dyDescent="0.25">
      <c r="A16" s="198"/>
      <c r="B16" s="199"/>
      <c r="C16" s="228"/>
      <c r="D16" s="279" t="s">
        <v>319</v>
      </c>
      <c r="E16" s="200"/>
      <c r="F16" s="326">
        <v>-90</v>
      </c>
      <c r="G16" s="200"/>
      <c r="H16" s="259"/>
      <c r="I16" s="499"/>
    </row>
    <row r="17" spans="1:12" s="260" customFormat="1" ht="12.75" hidden="1" customHeight="1" x14ac:dyDescent="0.2">
      <c r="A17" s="198"/>
      <c r="B17" s="199"/>
      <c r="C17" s="374" t="s">
        <v>351</v>
      </c>
      <c r="D17" s="313" t="s">
        <v>338</v>
      </c>
      <c r="E17" s="200"/>
      <c r="F17" s="326"/>
      <c r="G17" s="200"/>
      <c r="H17" s="259"/>
      <c r="I17" s="337"/>
    </row>
    <row r="18" spans="1:12" s="260" customFormat="1" ht="12.75" hidden="1" customHeight="1" x14ac:dyDescent="0.2">
      <c r="A18" s="198"/>
      <c r="B18" s="199"/>
      <c r="C18" s="228"/>
      <c r="D18" s="313" t="s">
        <v>340</v>
      </c>
      <c r="E18" s="200"/>
      <c r="F18" s="326"/>
      <c r="G18" s="200"/>
      <c r="H18" s="259"/>
      <c r="I18" s="338"/>
    </row>
    <row r="19" spans="1:12" s="260" customFormat="1" ht="12.75" hidden="1" customHeight="1" x14ac:dyDescent="0.2">
      <c r="A19" s="198"/>
      <c r="B19" s="199"/>
      <c r="C19" s="228"/>
      <c r="D19" s="313"/>
      <c r="E19" s="200"/>
      <c r="F19" s="326"/>
      <c r="G19" s="200"/>
      <c r="H19" s="259"/>
      <c r="I19" s="338"/>
    </row>
    <row r="20" spans="1:12" s="260" customFormat="1" ht="12.75" hidden="1" customHeight="1" x14ac:dyDescent="0.2">
      <c r="A20" s="198"/>
      <c r="B20" s="199"/>
      <c r="C20" s="228"/>
      <c r="D20" s="313"/>
      <c r="E20" s="200"/>
      <c r="F20" s="326"/>
      <c r="G20" s="200"/>
      <c r="H20" s="259"/>
      <c r="I20" s="338"/>
    </row>
    <row r="21" spans="1:12" s="260" customFormat="1" ht="12.75" hidden="1" customHeight="1" x14ac:dyDescent="0.2">
      <c r="A21" s="198"/>
      <c r="B21" s="199"/>
      <c r="C21" s="228"/>
      <c r="D21" s="313" t="s">
        <v>348</v>
      </c>
      <c r="E21" s="200"/>
      <c r="F21" s="326"/>
      <c r="G21" s="200"/>
      <c r="H21" s="259"/>
      <c r="I21" s="334"/>
    </row>
    <row r="22" spans="1:12" s="260" customFormat="1" ht="12.75" hidden="1" customHeight="1" x14ac:dyDescent="0.2">
      <c r="A22" s="198"/>
      <c r="B22" s="199"/>
      <c r="C22" s="228"/>
      <c r="D22" s="313" t="s">
        <v>349</v>
      </c>
      <c r="E22" s="200"/>
      <c r="F22" s="326"/>
      <c r="G22" s="200"/>
      <c r="H22" s="259"/>
      <c r="I22" s="336"/>
    </row>
    <row r="23" spans="1:12" s="260" customFormat="1" ht="12.75" hidden="1" customHeight="1" thickBot="1" x14ac:dyDescent="0.25">
      <c r="A23" s="198"/>
      <c r="B23" s="199"/>
      <c r="C23" s="228"/>
      <c r="D23" s="313" t="s">
        <v>350</v>
      </c>
      <c r="E23" s="200"/>
      <c r="F23" s="326"/>
      <c r="G23" s="200"/>
      <c r="H23" s="259"/>
      <c r="I23" s="339"/>
    </row>
    <row r="24" spans="1:12" s="260" customFormat="1" ht="12.75" hidden="1" customHeight="1" x14ac:dyDescent="0.2">
      <c r="A24" s="198"/>
      <c r="B24" s="199"/>
      <c r="C24" s="228"/>
      <c r="D24" s="313" t="s">
        <v>352</v>
      </c>
      <c r="E24" s="200"/>
      <c r="F24" s="326"/>
      <c r="G24" s="200"/>
      <c r="H24" s="259"/>
      <c r="I24" s="376"/>
    </row>
    <row r="25" spans="1:12" s="260" customFormat="1" ht="12.75" customHeight="1" x14ac:dyDescent="0.2">
      <c r="A25" s="198"/>
      <c r="B25" s="199"/>
      <c r="C25" s="228"/>
      <c r="D25" s="313" t="s">
        <v>517</v>
      </c>
      <c r="E25" s="200"/>
      <c r="F25" s="326">
        <v>5890.37</v>
      </c>
      <c r="G25" s="200"/>
      <c r="H25" s="259"/>
    </row>
    <row r="26" spans="1:12" s="260" customFormat="1" ht="12.75" customHeight="1" x14ac:dyDescent="0.2">
      <c r="A26" s="198"/>
      <c r="B26" s="199"/>
      <c r="C26" s="228"/>
      <c r="D26" s="313" t="s">
        <v>519</v>
      </c>
      <c r="E26" s="200"/>
      <c r="F26" s="326">
        <v>18.440000000060536</v>
      </c>
      <c r="G26" s="200"/>
      <c r="H26" s="259"/>
      <c r="I26" s="318"/>
    </row>
    <row r="27" spans="1:12" s="260" customFormat="1" ht="12.75" customHeight="1" x14ac:dyDescent="0.2">
      <c r="A27" s="194">
        <f>1+A5</f>
        <v>2</v>
      </c>
      <c r="B27" s="195" t="s">
        <v>160</v>
      </c>
      <c r="C27" s="218" t="s">
        <v>193</v>
      </c>
      <c r="D27" s="493" t="str">
        <f>$D$5</f>
        <v>FTE September 2024</v>
      </c>
      <c r="E27" s="197">
        <f>'1571'!I$145</f>
        <v>746356.02</v>
      </c>
      <c r="F27" s="327"/>
      <c r="G27" s="197">
        <f>SUBTOTAL(109,E27:F42)</f>
        <v>734751.23</v>
      </c>
      <c r="H27" s="259"/>
      <c r="I27" s="321"/>
    </row>
    <row r="28" spans="1:12" s="260" customFormat="1" ht="12.75" hidden="1" customHeight="1" x14ac:dyDescent="0.2">
      <c r="A28" s="194"/>
      <c r="B28" s="195"/>
      <c r="C28" s="363"/>
      <c r="D28" s="231" t="s">
        <v>279</v>
      </c>
      <c r="E28" s="197"/>
      <c r="F28" s="327"/>
      <c r="G28" s="197"/>
      <c r="H28" s="259"/>
      <c r="I28" s="321"/>
    </row>
    <row r="29" spans="1:12" s="260" customFormat="1" ht="12.75" hidden="1" customHeight="1" x14ac:dyDescent="0.2">
      <c r="A29" s="194"/>
      <c r="B29" s="195"/>
      <c r="C29" s="218"/>
      <c r="D29" s="340" t="s">
        <v>473</v>
      </c>
      <c r="E29" s="197"/>
      <c r="F29" s="327"/>
      <c r="G29" s="197"/>
      <c r="H29" s="259"/>
      <c r="I29" s="321"/>
    </row>
    <row r="30" spans="1:12" s="260" customFormat="1" ht="12.75" hidden="1" customHeight="1" x14ac:dyDescent="0.2">
      <c r="A30" s="194"/>
      <c r="B30" s="195"/>
      <c r="C30" s="240"/>
      <c r="D30" s="340" t="s">
        <v>343</v>
      </c>
      <c r="E30" s="197"/>
      <c r="F30" s="327"/>
      <c r="G30" s="197"/>
      <c r="H30" s="259"/>
      <c r="I30" s="321"/>
    </row>
    <row r="31" spans="1:12" s="260" customFormat="1" ht="12.75" hidden="1" customHeight="1" x14ac:dyDescent="0.2">
      <c r="A31" s="194"/>
      <c r="B31" s="195"/>
      <c r="C31" s="218"/>
      <c r="D31" s="231" t="s">
        <v>281</v>
      </c>
      <c r="E31" s="197"/>
      <c r="F31" s="327"/>
      <c r="G31" s="197"/>
      <c r="H31" s="259"/>
      <c r="I31" s="321"/>
      <c r="L31" s="317">
        <v>44630</v>
      </c>
    </row>
    <row r="32" spans="1:12" s="260" customFormat="1" ht="12.75" hidden="1" customHeight="1" x14ac:dyDescent="0.2">
      <c r="A32" s="194"/>
      <c r="B32" s="195"/>
      <c r="C32" s="218"/>
      <c r="D32" s="231" t="s">
        <v>280</v>
      </c>
      <c r="E32" s="197"/>
      <c r="F32" s="327"/>
      <c r="G32" s="197"/>
      <c r="H32" s="259"/>
      <c r="I32" s="321"/>
      <c r="L32" s="317">
        <f>L31-60</f>
        <v>44570</v>
      </c>
    </row>
    <row r="33" spans="1:13" s="260" customFormat="1" ht="12.75" hidden="1" customHeight="1" x14ac:dyDescent="0.2">
      <c r="A33" s="194"/>
      <c r="B33" s="195"/>
      <c r="C33" s="218"/>
      <c r="D33" s="231" t="s">
        <v>289</v>
      </c>
      <c r="E33" s="197"/>
      <c r="F33" s="327"/>
      <c r="G33" s="197"/>
      <c r="H33" s="259"/>
      <c r="I33" s="321"/>
    </row>
    <row r="34" spans="1:13" s="260" customFormat="1" ht="12.75" hidden="1" customHeight="1" x14ac:dyDescent="0.2">
      <c r="A34" s="194"/>
      <c r="B34" s="195"/>
      <c r="C34" s="218"/>
      <c r="D34" s="231" t="s">
        <v>258</v>
      </c>
      <c r="E34" s="197"/>
      <c r="F34" s="327"/>
      <c r="G34" s="197"/>
      <c r="H34" s="259"/>
      <c r="I34" s="321"/>
    </row>
    <row r="35" spans="1:13" s="260" customFormat="1" ht="12.75" customHeight="1" x14ac:dyDescent="0.2">
      <c r="A35" s="194"/>
      <c r="B35" s="195"/>
      <c r="C35" s="230"/>
      <c r="D35" s="276" t="s">
        <v>230</v>
      </c>
      <c r="E35" s="197"/>
      <c r="F35" s="327">
        <v>-11300</v>
      </c>
      <c r="G35" s="197"/>
      <c r="H35" s="259"/>
      <c r="I35" s="321"/>
    </row>
    <row r="36" spans="1:13" s="260" customFormat="1" ht="12.75" customHeight="1" x14ac:dyDescent="0.2">
      <c r="A36" s="194"/>
      <c r="B36" s="195"/>
      <c r="C36" s="230"/>
      <c r="D36" s="276" t="s">
        <v>231</v>
      </c>
      <c r="E36" s="197"/>
      <c r="F36" s="327">
        <v>-155.63999999999999</v>
      </c>
      <c r="G36" s="197"/>
      <c r="H36" s="259"/>
      <c r="I36" s="318"/>
    </row>
    <row r="37" spans="1:13" s="260" customFormat="1" ht="12.75" customHeight="1" x14ac:dyDescent="0.2">
      <c r="A37" s="194"/>
      <c r="B37" s="195"/>
      <c r="C37" s="230"/>
      <c r="D37" s="276" t="s">
        <v>434</v>
      </c>
      <c r="E37" s="197"/>
      <c r="F37" s="327">
        <v>-94.48</v>
      </c>
      <c r="G37" s="197"/>
      <c r="H37" s="259"/>
      <c r="I37" s="318"/>
    </row>
    <row r="38" spans="1:13" s="260" customFormat="1" ht="12.75" customHeight="1" x14ac:dyDescent="0.2">
      <c r="A38" s="194"/>
      <c r="B38" s="195"/>
      <c r="C38" s="230"/>
      <c r="D38" s="276" t="s">
        <v>319</v>
      </c>
      <c r="E38" s="197"/>
      <c r="F38" s="327">
        <v>-90</v>
      </c>
      <c r="G38" s="197"/>
      <c r="H38" s="259"/>
      <c r="I38" s="318"/>
    </row>
    <row r="39" spans="1:13" s="260" customFormat="1" ht="12.75" customHeight="1" x14ac:dyDescent="0.2">
      <c r="A39" s="194"/>
      <c r="B39" s="195"/>
      <c r="C39" s="375"/>
      <c r="D39" s="548" t="s">
        <v>519</v>
      </c>
      <c r="E39" s="197"/>
      <c r="F39" s="327">
        <v>35.32999999995809</v>
      </c>
      <c r="G39" s="197"/>
      <c r="H39" s="296"/>
      <c r="I39" s="318"/>
    </row>
    <row r="40" spans="1:13" s="260" customFormat="1" ht="12.75" hidden="1" customHeight="1" x14ac:dyDescent="0.2">
      <c r="A40" s="194"/>
      <c r="B40" s="195"/>
      <c r="C40" s="230"/>
      <c r="D40" s="341" t="s">
        <v>340</v>
      </c>
      <c r="E40" s="197"/>
      <c r="F40" s="327"/>
      <c r="G40" s="197"/>
      <c r="H40" s="259"/>
      <c r="I40" s="318"/>
    </row>
    <row r="41" spans="1:13" s="260" customFormat="1" ht="12.75" hidden="1" customHeight="1" x14ac:dyDescent="0.2">
      <c r="A41" s="194"/>
      <c r="B41" s="195"/>
      <c r="C41" s="230"/>
      <c r="D41" s="276" t="s">
        <v>327</v>
      </c>
      <c r="E41" s="197"/>
      <c r="F41" s="327">
        <v>0</v>
      </c>
      <c r="G41" s="197"/>
      <c r="H41" s="259"/>
      <c r="I41" s="318"/>
    </row>
    <row r="42" spans="1:13" s="260" customFormat="1" ht="12.75" hidden="1" customHeight="1" x14ac:dyDescent="0.2">
      <c r="A42" s="194"/>
      <c r="B42" s="195"/>
      <c r="C42" s="230"/>
      <c r="D42" s="436" t="s">
        <v>472</v>
      </c>
      <c r="E42" s="197"/>
      <c r="F42" s="327"/>
      <c r="G42" s="197"/>
      <c r="H42" s="259"/>
      <c r="I42" s="318"/>
    </row>
    <row r="43" spans="1:13" s="260" customFormat="1" ht="12.75" customHeight="1" x14ac:dyDescent="0.2">
      <c r="A43" s="198">
        <f>1+A27</f>
        <v>3</v>
      </c>
      <c r="B43" s="199" t="s">
        <v>161</v>
      </c>
      <c r="C43" s="219" t="s">
        <v>194</v>
      </c>
      <c r="D43" s="277" t="str">
        <f>$D$5</f>
        <v>FTE September 2024</v>
      </c>
      <c r="E43" s="200">
        <f>'2521'!I$145</f>
        <v>96437.43</v>
      </c>
      <c r="F43" s="326"/>
      <c r="G43" s="200">
        <f>SUBTOTAL(109,E43:F49)</f>
        <v>96462.829999999987</v>
      </c>
      <c r="H43" s="259"/>
      <c r="I43" s="318"/>
    </row>
    <row r="44" spans="1:13" s="260" customFormat="1" ht="12.75" customHeight="1" x14ac:dyDescent="0.2">
      <c r="A44" s="198"/>
      <c r="B44" s="199"/>
      <c r="C44" s="219"/>
      <c r="D44" s="313" t="s">
        <v>519</v>
      </c>
      <c r="E44" s="200"/>
      <c r="F44" s="326">
        <v>25.399999999994179</v>
      </c>
      <c r="G44" s="200"/>
      <c r="H44" s="259"/>
      <c r="I44" s="318"/>
    </row>
    <row r="45" spans="1:13" s="260" customFormat="1" ht="12.75" hidden="1" customHeight="1" x14ac:dyDescent="0.2">
      <c r="A45" s="198"/>
      <c r="B45" s="199"/>
      <c r="C45" s="219"/>
      <c r="D45" s="232" t="s">
        <v>281</v>
      </c>
      <c r="E45" s="200"/>
      <c r="F45" s="326"/>
      <c r="G45" s="200"/>
      <c r="H45" s="259"/>
      <c r="I45" s="318"/>
    </row>
    <row r="46" spans="1:13" s="260" customFormat="1" ht="12.75" hidden="1" customHeight="1" x14ac:dyDescent="0.2">
      <c r="A46" s="198"/>
      <c r="B46" s="199"/>
      <c r="C46" s="219"/>
      <c r="D46" s="232" t="s">
        <v>280</v>
      </c>
      <c r="E46" s="200"/>
      <c r="F46" s="326"/>
      <c r="G46" s="200"/>
      <c r="H46" s="259"/>
      <c r="I46" s="318"/>
    </row>
    <row r="47" spans="1:13" s="260" customFormat="1" ht="12.75" hidden="1" customHeight="1" x14ac:dyDescent="0.2">
      <c r="A47" s="198"/>
      <c r="B47" s="199"/>
      <c r="C47" s="219"/>
      <c r="D47" s="232" t="s">
        <v>289</v>
      </c>
      <c r="E47" s="200"/>
      <c r="F47" s="326"/>
      <c r="G47" s="200"/>
      <c r="H47" s="259"/>
      <c r="I47" s="318"/>
      <c r="M47" s="317"/>
    </row>
    <row r="48" spans="1:13" ht="12.75" hidden="1" customHeight="1" x14ac:dyDescent="0.2">
      <c r="A48" s="198"/>
      <c r="B48" s="199"/>
      <c r="C48" s="219"/>
      <c r="D48" s="232" t="s">
        <v>258</v>
      </c>
      <c r="E48" s="200"/>
      <c r="F48" s="326"/>
      <c r="G48" s="200"/>
      <c r="I48" s="318"/>
      <c r="M48" s="295"/>
    </row>
    <row r="49" spans="1:12" ht="12.75" hidden="1" customHeight="1" x14ac:dyDescent="0.2">
      <c r="A49" s="198"/>
      <c r="B49" s="199"/>
      <c r="C49" s="219"/>
      <c r="D49" s="313" t="s">
        <v>327</v>
      </c>
      <c r="E49" s="200"/>
      <c r="F49" s="326"/>
      <c r="G49" s="200"/>
      <c r="I49" s="318"/>
      <c r="L49" s="295"/>
    </row>
    <row r="50" spans="1:12" s="260" customFormat="1" ht="12.75" customHeight="1" x14ac:dyDescent="0.2">
      <c r="A50" s="194">
        <f>1+A43</f>
        <v>4</v>
      </c>
      <c r="B50" s="195">
        <v>2531</v>
      </c>
      <c r="C50" s="218" t="s">
        <v>195</v>
      </c>
      <c r="D50" s="493" t="str">
        <f>$D$5</f>
        <v>FTE September 2024</v>
      </c>
      <c r="E50" s="197">
        <v>112782.39999999999</v>
      </c>
      <c r="F50" s="327"/>
      <c r="G50" s="197">
        <f>SUBTOTAL(109,E50:F61)</f>
        <v>112799.5</v>
      </c>
      <c r="H50" s="296"/>
      <c r="I50" s="318"/>
    </row>
    <row r="51" spans="1:12" ht="12.75" customHeight="1" x14ac:dyDescent="0.2">
      <c r="A51" s="194"/>
      <c r="B51" s="195"/>
      <c r="C51" s="218"/>
      <c r="D51" s="548" t="s">
        <v>519</v>
      </c>
      <c r="E51" s="197"/>
      <c r="F51" s="327">
        <v>17.100000000000001</v>
      </c>
      <c r="G51" s="197"/>
      <c r="I51" s="318"/>
    </row>
    <row r="52" spans="1:12" ht="12.75" hidden="1" customHeight="1" x14ac:dyDescent="0.2">
      <c r="A52" s="194"/>
      <c r="B52" s="195"/>
      <c r="C52" s="218"/>
      <c r="D52" s="340" t="s">
        <v>473</v>
      </c>
      <c r="E52" s="197"/>
      <c r="F52" s="327"/>
      <c r="G52" s="197"/>
      <c r="I52" s="318"/>
    </row>
    <row r="53" spans="1:12" s="260" customFormat="1" ht="12.75" hidden="1" customHeight="1" x14ac:dyDescent="0.2">
      <c r="A53" s="194"/>
      <c r="B53" s="195"/>
      <c r="C53" s="218"/>
      <c r="D53" s="231" t="s">
        <v>345</v>
      </c>
      <c r="E53" s="197"/>
      <c r="F53" s="327"/>
      <c r="G53" s="197"/>
      <c r="H53" s="259"/>
      <c r="I53" s="306"/>
    </row>
    <row r="54" spans="1:12" s="260" customFormat="1" ht="12.75" hidden="1" customHeight="1" x14ac:dyDescent="0.2">
      <c r="A54" s="194"/>
      <c r="B54" s="195"/>
      <c r="C54" s="218"/>
      <c r="D54" s="340" t="s">
        <v>343</v>
      </c>
      <c r="E54" s="197"/>
      <c r="F54" s="327"/>
      <c r="G54" s="197"/>
      <c r="H54" s="259"/>
      <c r="I54" s="195"/>
    </row>
    <row r="55" spans="1:12" s="260" customFormat="1" ht="12.75" hidden="1" customHeight="1" x14ac:dyDescent="0.2">
      <c r="A55" s="194"/>
      <c r="B55" s="195"/>
      <c r="C55" s="218"/>
      <c r="D55" s="231" t="s">
        <v>281</v>
      </c>
      <c r="E55" s="197"/>
      <c r="F55" s="327"/>
      <c r="G55" s="197"/>
      <c r="H55" s="259"/>
      <c r="I55" s="195"/>
    </row>
    <row r="56" spans="1:12" s="260" customFormat="1" ht="12.75" hidden="1" customHeight="1" x14ac:dyDescent="0.2">
      <c r="A56" s="194"/>
      <c r="B56" s="195"/>
      <c r="C56" s="218"/>
      <c r="D56" s="231" t="s">
        <v>280</v>
      </c>
      <c r="E56" s="197"/>
      <c r="F56" s="327"/>
      <c r="G56" s="197"/>
      <c r="H56" s="259"/>
      <c r="I56" s="195"/>
    </row>
    <row r="57" spans="1:12" s="260" customFormat="1" ht="12.75" hidden="1" customHeight="1" x14ac:dyDescent="0.2">
      <c r="A57" s="194"/>
      <c r="B57" s="195"/>
      <c r="C57" s="218"/>
      <c r="D57" s="231" t="s">
        <v>289</v>
      </c>
      <c r="E57" s="197"/>
      <c r="F57" s="327"/>
      <c r="G57" s="197"/>
      <c r="H57" s="296"/>
      <c r="I57" s="306"/>
    </row>
    <row r="58" spans="1:12" s="260" customFormat="1" ht="12.75" hidden="1" customHeight="1" x14ac:dyDescent="0.2">
      <c r="A58" s="194"/>
      <c r="B58" s="195"/>
      <c r="C58" s="218"/>
      <c r="D58" s="231" t="s">
        <v>258</v>
      </c>
      <c r="E58" s="197"/>
      <c r="F58" s="327"/>
      <c r="G58" s="197"/>
      <c r="H58" s="259"/>
      <c r="I58" s="306"/>
    </row>
    <row r="59" spans="1:12" s="260" customFormat="1" ht="12.75" hidden="1" customHeight="1" x14ac:dyDescent="0.2">
      <c r="A59" s="194"/>
      <c r="B59" s="195"/>
      <c r="C59" s="218"/>
      <c r="D59" s="231" t="s">
        <v>326</v>
      </c>
      <c r="E59" s="197"/>
      <c r="F59" s="327"/>
      <c r="G59" s="197"/>
      <c r="H59" s="259"/>
      <c r="I59" s="306"/>
    </row>
    <row r="60" spans="1:12" s="260" customFormat="1" ht="12.75" hidden="1" customHeight="1" x14ac:dyDescent="0.2">
      <c r="A60" s="194"/>
      <c r="B60" s="195"/>
      <c r="C60" s="230"/>
      <c r="D60" s="341" t="s">
        <v>340</v>
      </c>
      <c r="E60" s="197"/>
      <c r="F60" s="327"/>
      <c r="G60" s="197"/>
      <c r="H60" s="259"/>
      <c r="I60" s="318"/>
    </row>
    <row r="61" spans="1:12" s="260" customFormat="1" ht="12.75" hidden="1" customHeight="1" x14ac:dyDescent="0.2">
      <c r="A61" s="194"/>
      <c r="B61" s="195"/>
      <c r="C61" s="218"/>
      <c r="D61" s="276" t="s">
        <v>327</v>
      </c>
      <c r="E61" s="197"/>
      <c r="F61" s="327"/>
      <c r="G61" s="197"/>
      <c r="H61" s="259"/>
      <c r="I61" s="230"/>
    </row>
    <row r="62" spans="1:12" s="260" customFormat="1" ht="12.75" customHeight="1" x14ac:dyDescent="0.2">
      <c r="A62" s="198">
        <f>1+A50</f>
        <v>5</v>
      </c>
      <c r="B62" s="199" t="s">
        <v>163</v>
      </c>
      <c r="C62" s="262" t="s">
        <v>256</v>
      </c>
      <c r="D62" s="277" t="str">
        <f>$D$5</f>
        <v>FTE September 2024</v>
      </c>
      <c r="E62" s="200">
        <f>'2791'!I$145</f>
        <v>374908.37</v>
      </c>
      <c r="F62" s="326"/>
      <c r="G62" s="200">
        <f>SUBTOTAL(109,E62:F69)</f>
        <v>374957.01999999996</v>
      </c>
      <c r="H62" s="296"/>
      <c r="I62" s="321"/>
    </row>
    <row r="63" spans="1:12" s="260" customFormat="1" ht="12.75" customHeight="1" x14ac:dyDescent="0.2">
      <c r="A63" s="198"/>
      <c r="B63" s="199"/>
      <c r="C63" s="219"/>
      <c r="D63" s="313" t="s">
        <v>519</v>
      </c>
      <c r="E63" s="200"/>
      <c r="F63" s="326">
        <v>48.649999999965075</v>
      </c>
      <c r="G63" s="200"/>
      <c r="H63" s="259"/>
      <c r="I63" s="230"/>
    </row>
    <row r="64" spans="1:12" s="260" customFormat="1" ht="12.75" hidden="1" customHeight="1" x14ac:dyDescent="0.2">
      <c r="A64" s="198"/>
      <c r="B64" s="199"/>
      <c r="C64" s="219"/>
      <c r="D64" s="372" t="s">
        <v>473</v>
      </c>
      <c r="E64" s="200"/>
      <c r="F64" s="326"/>
      <c r="G64" s="200"/>
      <c r="H64" s="259"/>
      <c r="I64" s="230"/>
    </row>
    <row r="65" spans="1:9" s="260" customFormat="1" ht="12.75" hidden="1" customHeight="1" x14ac:dyDescent="0.2">
      <c r="A65" s="198"/>
      <c r="B65" s="199"/>
      <c r="C65" s="219"/>
      <c r="D65" s="232" t="s">
        <v>281</v>
      </c>
      <c r="E65" s="200"/>
      <c r="F65" s="326"/>
      <c r="G65" s="200"/>
      <c r="H65" s="259"/>
      <c r="I65" s="230"/>
    </row>
    <row r="66" spans="1:9" s="260" customFormat="1" ht="12.75" hidden="1" customHeight="1" x14ac:dyDescent="0.2">
      <c r="A66" s="198"/>
      <c r="B66" s="199"/>
      <c r="C66" s="219"/>
      <c r="D66" s="232" t="s">
        <v>280</v>
      </c>
      <c r="E66" s="200"/>
      <c r="F66" s="326"/>
      <c r="G66" s="200"/>
      <c r="H66" s="259"/>
      <c r="I66" s="230"/>
    </row>
    <row r="67" spans="1:9" s="260" customFormat="1" ht="12.75" hidden="1" customHeight="1" x14ac:dyDescent="0.2">
      <c r="A67" s="198"/>
      <c r="B67" s="199"/>
      <c r="C67" s="219"/>
      <c r="D67" s="232" t="s">
        <v>289</v>
      </c>
      <c r="E67" s="200"/>
      <c r="F67" s="326"/>
      <c r="G67" s="200"/>
      <c r="H67" s="259"/>
      <c r="I67" s="318"/>
    </row>
    <row r="68" spans="1:9" s="260" customFormat="1" ht="12.75" hidden="1" customHeight="1" x14ac:dyDescent="0.2">
      <c r="A68" s="198"/>
      <c r="B68" s="199"/>
      <c r="C68" s="219"/>
      <c r="D68" s="232" t="s">
        <v>258</v>
      </c>
      <c r="E68" s="200"/>
      <c r="F68" s="326"/>
      <c r="G68" s="200"/>
      <c r="H68" s="259"/>
      <c r="I68" s="318"/>
    </row>
    <row r="69" spans="1:9" s="260" customFormat="1" ht="12.75" hidden="1" customHeight="1" x14ac:dyDescent="0.2">
      <c r="A69" s="198"/>
      <c r="B69" s="199"/>
      <c r="C69" s="219"/>
      <c r="D69" s="313" t="s">
        <v>327</v>
      </c>
      <c r="E69" s="200"/>
      <c r="F69" s="326"/>
      <c r="G69" s="200"/>
      <c r="H69" s="259"/>
      <c r="I69" s="318"/>
    </row>
    <row r="70" spans="1:9" s="260" customFormat="1" ht="12.75" customHeight="1" x14ac:dyDescent="0.2">
      <c r="A70" s="194">
        <f>A62+1</f>
        <v>6</v>
      </c>
      <c r="B70" s="195" t="s">
        <v>164</v>
      </c>
      <c r="C70" s="261" t="s">
        <v>359</v>
      </c>
      <c r="D70" s="493" t="str">
        <f>$D$5</f>
        <v>FTE September 2024</v>
      </c>
      <c r="E70" s="197">
        <f>'2801'!I$145</f>
        <v>439835.38</v>
      </c>
      <c r="F70" s="327"/>
      <c r="G70" s="197">
        <f>SUBTOTAL(109,E70:F79)</f>
        <v>439932.68999999994</v>
      </c>
      <c r="H70" s="296"/>
      <c r="I70" s="321"/>
    </row>
    <row r="71" spans="1:9" s="260" customFormat="1" ht="12.75" customHeight="1" x14ac:dyDescent="0.2">
      <c r="A71" s="194"/>
      <c r="B71" s="195"/>
      <c r="C71" s="218"/>
      <c r="D71" s="548" t="s">
        <v>519</v>
      </c>
      <c r="E71" s="197"/>
      <c r="F71" s="327">
        <v>97.309999999939464</v>
      </c>
      <c r="G71" s="197"/>
      <c r="H71" s="259"/>
      <c r="I71" s="318"/>
    </row>
    <row r="72" spans="1:9" s="260" customFormat="1" ht="12.75" hidden="1" customHeight="1" x14ac:dyDescent="0.2">
      <c r="A72" s="194"/>
      <c r="B72" s="195"/>
      <c r="C72" s="218"/>
      <c r="D72" s="340" t="s">
        <v>473</v>
      </c>
      <c r="E72" s="197"/>
      <c r="F72" s="327"/>
      <c r="G72" s="197"/>
      <c r="H72" s="296"/>
      <c r="I72" s="306"/>
    </row>
    <row r="73" spans="1:9" s="260" customFormat="1" ht="12.75" hidden="1" customHeight="1" x14ac:dyDescent="0.2">
      <c r="A73" s="194"/>
      <c r="B73" s="195"/>
      <c r="C73" s="218"/>
      <c r="D73" s="231" t="s">
        <v>281</v>
      </c>
      <c r="E73" s="197"/>
      <c r="F73" s="327"/>
      <c r="G73" s="197"/>
      <c r="H73" s="296"/>
      <c r="I73" s="195"/>
    </row>
    <row r="74" spans="1:9" s="260" customFormat="1" ht="12.75" hidden="1" customHeight="1" x14ac:dyDescent="0.2">
      <c r="A74" s="194"/>
      <c r="B74" s="195"/>
      <c r="C74" s="218"/>
      <c r="D74" s="231" t="s">
        <v>336</v>
      </c>
      <c r="E74" s="197"/>
      <c r="F74" s="327"/>
      <c r="G74" s="197"/>
      <c r="H74" s="259"/>
      <c r="I74" s="230"/>
    </row>
    <row r="75" spans="1:9" s="260" customFormat="1" ht="12.75" hidden="1" customHeight="1" x14ac:dyDescent="0.2">
      <c r="A75" s="194"/>
      <c r="B75" s="195"/>
      <c r="C75" s="218"/>
      <c r="D75" s="231" t="s">
        <v>289</v>
      </c>
      <c r="E75" s="197"/>
      <c r="F75" s="327"/>
      <c r="G75" s="197"/>
      <c r="H75" s="296"/>
      <c r="I75" s="195"/>
    </row>
    <row r="76" spans="1:9" s="260" customFormat="1" ht="12.75" hidden="1" customHeight="1" x14ac:dyDescent="0.2">
      <c r="A76" s="194"/>
      <c r="B76" s="195"/>
      <c r="C76" s="218"/>
      <c r="D76" s="231" t="s">
        <v>258</v>
      </c>
      <c r="E76" s="197"/>
      <c r="F76" s="327"/>
      <c r="G76" s="197"/>
      <c r="H76" s="296"/>
      <c r="I76" s="195"/>
    </row>
    <row r="77" spans="1:9" s="260" customFormat="1" ht="12.75" hidden="1" customHeight="1" x14ac:dyDescent="0.2">
      <c r="A77" s="194"/>
      <c r="B77" s="195"/>
      <c r="C77" s="218"/>
      <c r="D77" s="231" t="s">
        <v>296</v>
      </c>
      <c r="E77" s="197"/>
      <c r="F77" s="327"/>
      <c r="G77" s="197"/>
      <c r="H77" s="296"/>
      <c r="I77" s="306"/>
    </row>
    <row r="78" spans="1:9" s="260" customFormat="1" ht="12.75" hidden="1" customHeight="1" x14ac:dyDescent="0.2">
      <c r="A78" s="194"/>
      <c r="B78" s="195"/>
      <c r="C78" s="218"/>
      <c r="D78" s="231" t="s">
        <v>326</v>
      </c>
      <c r="E78" s="197"/>
      <c r="F78" s="327"/>
      <c r="G78" s="197"/>
      <c r="H78" s="259"/>
      <c r="I78" s="306"/>
    </row>
    <row r="79" spans="1:9" s="260" customFormat="1" ht="12.75" hidden="1" customHeight="1" x14ac:dyDescent="0.2">
      <c r="A79" s="194"/>
      <c r="B79" s="195"/>
      <c r="C79" s="218"/>
      <c r="D79" s="276" t="s">
        <v>357</v>
      </c>
      <c r="E79" s="197"/>
      <c r="F79" s="327"/>
      <c r="G79" s="197"/>
      <c r="H79" s="259"/>
      <c r="I79" s="306"/>
    </row>
    <row r="80" spans="1:9" s="260" customFormat="1" ht="12.75" customHeight="1" x14ac:dyDescent="0.2">
      <c r="A80" s="198">
        <f>A70+1</f>
        <v>7</v>
      </c>
      <c r="B80" s="199" t="s">
        <v>165</v>
      </c>
      <c r="C80" s="219" t="s">
        <v>197</v>
      </c>
      <c r="D80" s="277" t="str">
        <f>$D$5</f>
        <v>FTE September 2024</v>
      </c>
      <c r="E80" s="200">
        <f>'2911'!I$145</f>
        <v>460361.47</v>
      </c>
      <c r="F80" s="326"/>
      <c r="G80" s="200">
        <f>SUBTOTAL(109,E80:F90)</f>
        <v>460398.42999999993</v>
      </c>
      <c r="H80" s="296"/>
      <c r="I80" s="195"/>
    </row>
    <row r="81" spans="1:9" s="260" customFormat="1" ht="12.75" customHeight="1" x14ac:dyDescent="0.2">
      <c r="A81" s="198"/>
      <c r="B81" s="199"/>
      <c r="C81" s="219"/>
      <c r="D81" s="313" t="s">
        <v>519</v>
      </c>
      <c r="E81" s="200"/>
      <c r="F81" s="326">
        <v>36.959999999962747</v>
      </c>
      <c r="G81" s="200"/>
      <c r="H81" s="296"/>
      <c r="I81" s="195"/>
    </row>
    <row r="82" spans="1:9" s="260" customFormat="1" ht="12.75" hidden="1" customHeight="1" x14ac:dyDescent="0.2">
      <c r="A82" s="198"/>
      <c r="B82" s="199"/>
      <c r="C82" s="219"/>
      <c r="D82" s="372" t="s">
        <v>343</v>
      </c>
      <c r="E82" s="200"/>
      <c r="F82" s="326"/>
      <c r="G82" s="200"/>
      <c r="H82" s="259"/>
      <c r="I82" s="230"/>
    </row>
    <row r="83" spans="1:9" s="260" customFormat="1" ht="12.75" hidden="1" customHeight="1" x14ac:dyDescent="0.2">
      <c r="A83" s="198"/>
      <c r="B83" s="199"/>
      <c r="C83" s="219"/>
      <c r="D83" s="232" t="s">
        <v>281</v>
      </c>
      <c r="E83" s="200"/>
      <c r="F83" s="326"/>
      <c r="G83" s="200"/>
      <c r="H83" s="296"/>
      <c r="I83" s="195"/>
    </row>
    <row r="84" spans="1:9" s="260" customFormat="1" ht="12.75" hidden="1" customHeight="1" x14ac:dyDescent="0.2">
      <c r="A84" s="198"/>
      <c r="B84" s="199"/>
      <c r="C84" s="219"/>
      <c r="D84" s="232" t="s">
        <v>280</v>
      </c>
      <c r="E84" s="200"/>
      <c r="F84" s="326"/>
      <c r="G84" s="200"/>
      <c r="H84" s="296"/>
      <c r="I84" s="195"/>
    </row>
    <row r="85" spans="1:9" s="260" customFormat="1" ht="12.75" hidden="1" customHeight="1" x14ac:dyDescent="0.2">
      <c r="A85" s="198"/>
      <c r="B85" s="199"/>
      <c r="C85" s="219"/>
      <c r="D85" s="232" t="s">
        <v>289</v>
      </c>
      <c r="E85" s="200"/>
      <c r="F85" s="326"/>
      <c r="G85" s="200"/>
      <c r="H85" s="296"/>
      <c r="I85" s="195"/>
    </row>
    <row r="86" spans="1:9" s="260" customFormat="1" ht="12.75" hidden="1" customHeight="1" x14ac:dyDescent="0.2">
      <c r="A86" s="198"/>
      <c r="B86" s="199"/>
      <c r="C86" s="219"/>
      <c r="D86" s="232" t="s">
        <v>258</v>
      </c>
      <c r="E86" s="200"/>
      <c r="F86" s="326"/>
      <c r="G86" s="200"/>
      <c r="H86" s="259"/>
      <c r="I86" s="316"/>
    </row>
    <row r="87" spans="1:9" s="260" customFormat="1" ht="12.75" hidden="1" customHeight="1" x14ac:dyDescent="0.2">
      <c r="A87" s="198"/>
      <c r="B87" s="199"/>
      <c r="C87" s="219"/>
      <c r="D87" s="232" t="s">
        <v>296</v>
      </c>
      <c r="E87" s="200"/>
      <c r="F87" s="326"/>
      <c r="G87" s="200"/>
      <c r="H87" s="296"/>
    </row>
    <row r="88" spans="1:9" s="260" customFormat="1" ht="12.75" hidden="1" customHeight="1" x14ac:dyDescent="0.2">
      <c r="A88" s="198"/>
      <c r="B88" s="199"/>
      <c r="C88" s="228"/>
      <c r="D88" s="313" t="s">
        <v>327</v>
      </c>
      <c r="E88" s="200"/>
      <c r="F88" s="326"/>
      <c r="G88" s="200"/>
      <c r="H88" s="296"/>
      <c r="I88" s="195"/>
    </row>
    <row r="89" spans="1:9" s="260" customFormat="1" ht="12.75" hidden="1" customHeight="1" x14ac:dyDescent="0.2">
      <c r="A89" s="198"/>
      <c r="B89" s="199"/>
      <c r="C89" s="228"/>
      <c r="D89" s="313" t="s">
        <v>367</v>
      </c>
      <c r="E89" s="200"/>
      <c r="F89" s="326"/>
      <c r="G89" s="200"/>
      <c r="H89" s="296"/>
      <c r="I89" s="306"/>
    </row>
    <row r="90" spans="1:9" s="260" customFormat="1" ht="12.75" hidden="1" customHeight="1" x14ac:dyDescent="0.2">
      <c r="A90" s="198"/>
      <c r="B90" s="199"/>
      <c r="C90" s="228"/>
      <c r="D90" s="278"/>
      <c r="E90" s="200"/>
      <c r="F90" s="326"/>
      <c r="G90" s="200"/>
      <c r="H90" s="296"/>
      <c r="I90" s="306"/>
    </row>
    <row r="91" spans="1:9" s="260" customFormat="1" ht="12.75" customHeight="1" x14ac:dyDescent="0.2">
      <c r="A91" s="194">
        <f>A80+1</f>
        <v>8</v>
      </c>
      <c r="B91" s="195" t="s">
        <v>166</v>
      </c>
      <c r="C91" s="218" t="s">
        <v>198</v>
      </c>
      <c r="D91" s="493" t="str">
        <f>$D$5</f>
        <v>FTE September 2024</v>
      </c>
      <c r="E91" s="197">
        <f>'2941'!I$145</f>
        <v>870232.61</v>
      </c>
      <c r="F91" s="327"/>
      <c r="G91" s="197">
        <f>SUBTOTAL(109,E91:F99)</f>
        <v>859086.97000000009</v>
      </c>
      <c r="H91" s="296"/>
      <c r="I91" s="195"/>
    </row>
    <row r="92" spans="1:9" s="260" customFormat="1" ht="12.75" customHeight="1" x14ac:dyDescent="0.2">
      <c r="A92" s="194"/>
      <c r="B92" s="195"/>
      <c r="C92" s="218"/>
      <c r="D92" s="548" t="s">
        <v>519</v>
      </c>
      <c r="E92" s="197"/>
      <c r="F92" s="327">
        <v>88.210000000079162</v>
      </c>
      <c r="G92" s="197"/>
      <c r="H92" s="296"/>
      <c r="I92" s="195"/>
    </row>
    <row r="93" spans="1:9" s="260" customFormat="1" ht="12.75" hidden="1" customHeight="1" x14ac:dyDescent="0.2">
      <c r="A93" s="194"/>
      <c r="B93" s="195"/>
      <c r="C93" s="218"/>
      <c r="D93" s="340" t="s">
        <v>473</v>
      </c>
      <c r="E93" s="197"/>
      <c r="F93" s="327"/>
      <c r="G93" s="197"/>
      <c r="H93" s="259"/>
      <c r="I93" s="230"/>
    </row>
    <row r="94" spans="1:9" s="260" customFormat="1" ht="12.75" hidden="1" customHeight="1" x14ac:dyDescent="0.2">
      <c r="A94" s="194"/>
      <c r="B94" s="195"/>
      <c r="C94" s="218"/>
      <c r="D94" s="231" t="s">
        <v>281</v>
      </c>
      <c r="E94" s="197"/>
      <c r="F94" s="327"/>
      <c r="G94" s="197"/>
      <c r="H94" s="296"/>
      <c r="I94" s="195"/>
    </row>
    <row r="95" spans="1:9" s="260" customFormat="1" ht="12.75" hidden="1" customHeight="1" x14ac:dyDescent="0.2">
      <c r="A95" s="194"/>
      <c r="B95" s="195"/>
      <c r="C95" s="218"/>
      <c r="D95" s="231" t="s">
        <v>280</v>
      </c>
      <c r="E95" s="197"/>
      <c r="F95" s="327"/>
      <c r="G95" s="197"/>
      <c r="H95" s="296"/>
      <c r="I95" s="195"/>
    </row>
    <row r="96" spans="1:9" s="260" customFormat="1" ht="12.75" hidden="1" customHeight="1" x14ac:dyDescent="0.2">
      <c r="A96" s="194"/>
      <c r="B96" s="195"/>
      <c r="C96" s="218"/>
      <c r="D96" s="231" t="s">
        <v>289</v>
      </c>
      <c r="E96" s="197"/>
      <c r="F96" s="327"/>
      <c r="G96" s="197"/>
      <c r="H96" s="296"/>
      <c r="I96" s="195"/>
    </row>
    <row r="97" spans="1:12" s="260" customFormat="1" ht="12.75" hidden="1" customHeight="1" x14ac:dyDescent="0.2">
      <c r="A97" s="194"/>
      <c r="B97" s="195"/>
      <c r="C97" s="218"/>
      <c r="D97" s="231" t="s">
        <v>258</v>
      </c>
      <c r="E97" s="197"/>
      <c r="F97" s="327"/>
      <c r="G97" s="197"/>
      <c r="H97" s="259"/>
      <c r="I97" s="316"/>
    </row>
    <row r="98" spans="1:12" s="260" customFormat="1" ht="12.75" hidden="1" customHeight="1" x14ac:dyDescent="0.2">
      <c r="A98" s="194"/>
      <c r="B98" s="195"/>
      <c r="C98" s="218"/>
      <c r="D98" s="231" t="s">
        <v>326</v>
      </c>
      <c r="E98" s="197"/>
      <c r="F98" s="327"/>
      <c r="G98" s="197"/>
      <c r="H98" s="296"/>
      <c r="I98" s="306"/>
    </row>
    <row r="99" spans="1:12" s="260" customFormat="1" ht="12.75" customHeight="1" x14ac:dyDescent="0.2">
      <c r="A99" s="194"/>
      <c r="B99" s="195"/>
      <c r="C99" s="218"/>
      <c r="D99" s="276" t="s">
        <v>518</v>
      </c>
      <c r="E99" s="197"/>
      <c r="F99" s="327">
        <v>-11233.85</v>
      </c>
      <c r="G99" s="197"/>
      <c r="H99" s="259"/>
      <c r="I99" s="306"/>
      <c r="J99" s="341"/>
      <c r="K99" s="197"/>
      <c r="L99" s="240"/>
    </row>
    <row r="100" spans="1:12" s="260" customFormat="1" ht="12.75" customHeight="1" x14ac:dyDescent="0.2">
      <c r="A100" s="198">
        <f>A91+1</f>
        <v>9</v>
      </c>
      <c r="B100" s="199" t="s">
        <v>167</v>
      </c>
      <c r="C100" s="262" t="s">
        <v>318</v>
      </c>
      <c r="D100" s="277" t="str">
        <f>$D$5</f>
        <v>FTE September 2024</v>
      </c>
      <c r="E100" s="200">
        <f>'3083'!I$145</f>
        <v>419829.87</v>
      </c>
      <c r="F100" s="326"/>
      <c r="G100" s="200">
        <f>SUBTOTAL(109,E100:F107)</f>
        <v>419879.06</v>
      </c>
      <c r="H100" s="259"/>
      <c r="I100" s="306"/>
      <c r="J100" s="341"/>
      <c r="K100" s="197"/>
      <c r="L100" s="240"/>
    </row>
    <row r="101" spans="1:12" s="260" customFormat="1" ht="12.75" customHeight="1" x14ac:dyDescent="0.2">
      <c r="A101" s="198"/>
      <c r="B101" s="199"/>
      <c r="C101" s="219"/>
      <c r="D101" s="313" t="s">
        <v>519</v>
      </c>
      <c r="E101" s="200"/>
      <c r="F101" s="326">
        <v>49.190000000002328</v>
      </c>
      <c r="G101" s="200"/>
      <c r="H101" s="296"/>
      <c r="I101" s="195"/>
    </row>
    <row r="102" spans="1:12" s="260" customFormat="1" ht="12.75" hidden="1" customHeight="1" x14ac:dyDescent="0.2">
      <c r="A102" s="198"/>
      <c r="B102" s="199"/>
      <c r="C102" s="219"/>
      <c r="D102" s="372" t="s">
        <v>473</v>
      </c>
      <c r="E102" s="200"/>
      <c r="F102" s="326"/>
      <c r="G102" s="200"/>
      <c r="H102" s="296"/>
      <c r="I102" s="195"/>
    </row>
    <row r="103" spans="1:12" s="260" customFormat="1" ht="12.75" hidden="1" customHeight="1" x14ac:dyDescent="0.2">
      <c r="A103" s="198"/>
      <c r="B103" s="199"/>
      <c r="C103" s="219"/>
      <c r="D103" s="232" t="s">
        <v>281</v>
      </c>
      <c r="E103" s="200"/>
      <c r="F103" s="326"/>
      <c r="G103" s="200"/>
      <c r="H103" s="259"/>
      <c r="I103" s="230"/>
    </row>
    <row r="104" spans="1:12" s="260" customFormat="1" ht="12.75" hidden="1" customHeight="1" x14ac:dyDescent="0.2">
      <c r="A104" s="198"/>
      <c r="B104" s="199"/>
      <c r="C104" s="219"/>
      <c r="D104" s="232" t="s">
        <v>280</v>
      </c>
      <c r="E104" s="200"/>
      <c r="F104" s="326"/>
      <c r="G104" s="200"/>
      <c r="H104" s="296"/>
      <c r="I104" s="195"/>
    </row>
    <row r="105" spans="1:12" s="260" customFormat="1" ht="12.75" hidden="1" customHeight="1" x14ac:dyDescent="0.2">
      <c r="A105" s="198"/>
      <c r="B105" s="199"/>
      <c r="C105" s="219"/>
      <c r="D105" s="278" t="s">
        <v>289</v>
      </c>
      <c r="E105" s="200"/>
      <c r="F105" s="326"/>
      <c r="G105" s="200"/>
      <c r="H105" s="296"/>
      <c r="I105" s="195"/>
    </row>
    <row r="106" spans="1:12" s="260" customFormat="1" ht="12.75" hidden="1" customHeight="1" x14ac:dyDescent="0.2">
      <c r="A106" s="198"/>
      <c r="B106" s="199"/>
      <c r="C106" s="219"/>
      <c r="D106" s="232" t="s">
        <v>258</v>
      </c>
      <c r="E106" s="200"/>
      <c r="F106" s="326"/>
      <c r="G106" s="200"/>
      <c r="H106" s="296"/>
      <c r="I106" s="195"/>
    </row>
    <row r="107" spans="1:12" s="260" customFormat="1" ht="12.75" hidden="1" customHeight="1" x14ac:dyDescent="0.2">
      <c r="A107" s="198"/>
      <c r="B107" s="199"/>
      <c r="C107" s="219"/>
      <c r="D107" s="278" t="s">
        <v>327</v>
      </c>
      <c r="E107" s="200"/>
      <c r="F107" s="326"/>
      <c r="G107" s="200"/>
      <c r="H107" s="259"/>
      <c r="I107" s="316"/>
    </row>
    <row r="108" spans="1:12" s="260" customFormat="1" ht="12.75" customHeight="1" x14ac:dyDescent="0.2">
      <c r="A108" s="194">
        <f>A100+1</f>
        <v>10</v>
      </c>
      <c r="B108" s="195" t="s">
        <v>168</v>
      </c>
      <c r="C108" s="261" t="s">
        <v>365</v>
      </c>
      <c r="D108" s="493" t="str">
        <f>$D$5</f>
        <v>FTE September 2024</v>
      </c>
      <c r="E108" s="197">
        <f>'3345'!I$145</f>
        <v>85621.5</v>
      </c>
      <c r="F108" s="327"/>
      <c r="G108" s="197">
        <f>SUBTOTAL(109,E108:F114)</f>
        <v>85647.069999999992</v>
      </c>
      <c r="H108" s="259"/>
      <c r="I108" s="316"/>
    </row>
    <row r="109" spans="1:12" s="260" customFormat="1" ht="12.75" customHeight="1" x14ac:dyDescent="0.2">
      <c r="A109" s="194"/>
      <c r="B109" s="195"/>
      <c r="C109" s="261"/>
      <c r="D109" s="548" t="s">
        <v>519</v>
      </c>
      <c r="E109" s="197"/>
      <c r="F109" s="327">
        <v>25.569999999992433</v>
      </c>
      <c r="G109" s="197"/>
      <c r="H109" s="259"/>
      <c r="I109" s="316"/>
    </row>
    <row r="110" spans="1:12" s="260" customFormat="1" ht="12.75" hidden="1" customHeight="1" x14ac:dyDescent="0.2">
      <c r="A110" s="194"/>
      <c r="B110" s="195"/>
      <c r="C110" s="261"/>
      <c r="D110" s="231" t="s">
        <v>473</v>
      </c>
      <c r="E110" s="197"/>
      <c r="F110" s="327"/>
      <c r="G110" s="197"/>
      <c r="H110" s="296"/>
      <c r="I110" s="195"/>
    </row>
    <row r="111" spans="1:12" s="260" customFormat="1" ht="12.75" hidden="1" customHeight="1" x14ac:dyDescent="0.2">
      <c r="A111" s="194"/>
      <c r="B111" s="195"/>
      <c r="C111" s="218"/>
      <c r="D111" s="231" t="s">
        <v>280</v>
      </c>
      <c r="E111" s="197"/>
      <c r="F111" s="327"/>
      <c r="G111" s="197"/>
      <c r="H111" s="296"/>
      <c r="I111" s="195"/>
    </row>
    <row r="112" spans="1:12" s="260" customFormat="1" ht="12.75" hidden="1" customHeight="1" x14ac:dyDescent="0.2">
      <c r="A112" s="194"/>
      <c r="B112" s="195"/>
      <c r="C112" s="218"/>
      <c r="D112" s="231" t="s">
        <v>289</v>
      </c>
      <c r="E112" s="197"/>
      <c r="F112" s="327"/>
      <c r="G112" s="197"/>
      <c r="H112" s="259"/>
      <c r="I112" s="230"/>
    </row>
    <row r="113" spans="1:9" s="260" customFormat="1" ht="12.75" hidden="1" customHeight="1" x14ac:dyDescent="0.2">
      <c r="A113" s="194"/>
      <c r="B113" s="195"/>
      <c r="C113" s="218"/>
      <c r="D113" s="231" t="s">
        <v>258</v>
      </c>
      <c r="E113" s="197"/>
      <c r="F113" s="327"/>
      <c r="G113" s="197"/>
      <c r="H113" s="296"/>
      <c r="I113" s="195"/>
    </row>
    <row r="114" spans="1:9" s="260" customFormat="1" ht="12.75" hidden="1" customHeight="1" x14ac:dyDescent="0.2">
      <c r="A114" s="194"/>
      <c r="B114" s="195"/>
      <c r="C114" s="218"/>
      <c r="D114" s="276" t="s">
        <v>327</v>
      </c>
      <c r="E114" s="197"/>
      <c r="F114" s="327"/>
      <c r="G114" s="197"/>
      <c r="H114" s="296"/>
      <c r="I114" s="195"/>
    </row>
    <row r="115" spans="1:9" s="260" customFormat="1" ht="12.75" customHeight="1" x14ac:dyDescent="0.2">
      <c r="A115" s="198">
        <f>A108+1</f>
        <v>11</v>
      </c>
      <c r="B115" s="199" t="s">
        <v>169</v>
      </c>
      <c r="C115" s="219" t="s">
        <v>201</v>
      </c>
      <c r="D115" s="277" t="str">
        <f>$D$5</f>
        <v>FTE September 2024</v>
      </c>
      <c r="E115" s="200">
        <f>'3381'!I$145</f>
        <v>755288.45</v>
      </c>
      <c r="F115" s="326"/>
      <c r="G115" s="200">
        <f>SUBTOTAL(109,E115:F123)</f>
        <v>755325.7699999999</v>
      </c>
      <c r="H115" s="296"/>
      <c r="I115" s="195"/>
    </row>
    <row r="116" spans="1:9" s="260" customFormat="1" ht="12.75" customHeight="1" x14ac:dyDescent="0.2">
      <c r="A116" s="198"/>
      <c r="B116" s="199"/>
      <c r="C116" s="219"/>
      <c r="D116" s="313" t="s">
        <v>519</v>
      </c>
      <c r="E116" s="200"/>
      <c r="F116" s="326">
        <v>37.319999999948777</v>
      </c>
      <c r="G116" s="200"/>
      <c r="H116" s="259"/>
      <c r="I116" s="316"/>
    </row>
    <row r="117" spans="1:9" ht="12.75" hidden="1" customHeight="1" x14ac:dyDescent="0.2">
      <c r="A117" s="198"/>
      <c r="B117" s="199"/>
      <c r="C117" s="219"/>
      <c r="D117" s="372" t="s">
        <v>473</v>
      </c>
      <c r="E117" s="200"/>
      <c r="F117" s="326"/>
      <c r="G117" s="200"/>
      <c r="H117" s="297"/>
      <c r="I117" s="195"/>
    </row>
    <row r="118" spans="1:9" s="260" customFormat="1" ht="12.75" hidden="1" customHeight="1" x14ac:dyDescent="0.2">
      <c r="A118" s="198"/>
      <c r="B118" s="199"/>
      <c r="C118" s="219"/>
      <c r="D118" s="232" t="s">
        <v>281</v>
      </c>
      <c r="E118" s="200"/>
      <c r="F118" s="326"/>
      <c r="G118" s="200"/>
      <c r="H118" s="296"/>
      <c r="I118" s="195"/>
    </row>
    <row r="119" spans="1:9" s="260" customFormat="1" ht="12.75" hidden="1" customHeight="1" x14ac:dyDescent="0.2">
      <c r="A119" s="198"/>
      <c r="B119" s="199"/>
      <c r="C119" s="219"/>
      <c r="D119" s="232" t="s">
        <v>280</v>
      </c>
      <c r="E119" s="200"/>
      <c r="F119" s="326"/>
      <c r="G119" s="200"/>
      <c r="H119" s="296"/>
      <c r="I119" s="195"/>
    </row>
    <row r="120" spans="1:9" s="260" customFormat="1" ht="12.75" hidden="1" customHeight="1" x14ac:dyDescent="0.2">
      <c r="A120" s="198"/>
      <c r="B120" s="199"/>
      <c r="C120" s="219"/>
      <c r="D120" s="232" t="s">
        <v>289</v>
      </c>
      <c r="E120" s="200"/>
      <c r="F120" s="326"/>
      <c r="G120" s="200"/>
      <c r="H120" s="296"/>
      <c r="I120" s="195"/>
    </row>
    <row r="121" spans="1:9" s="260" customFormat="1" ht="12.75" hidden="1" customHeight="1" x14ac:dyDescent="0.2">
      <c r="A121" s="198"/>
      <c r="B121" s="199"/>
      <c r="C121" s="219"/>
      <c r="D121" s="232" t="s">
        <v>258</v>
      </c>
      <c r="E121" s="200"/>
      <c r="F121" s="326"/>
      <c r="G121" s="200"/>
      <c r="H121" s="296"/>
      <c r="I121" s="195"/>
    </row>
    <row r="122" spans="1:9" s="260" customFormat="1" ht="12.75" hidden="1" customHeight="1" x14ac:dyDescent="0.2">
      <c r="A122" s="198"/>
      <c r="B122" s="199"/>
      <c r="C122" s="219"/>
      <c r="D122" s="232" t="s">
        <v>339</v>
      </c>
      <c r="E122" s="200"/>
      <c r="F122" s="326"/>
      <c r="G122" s="200"/>
      <c r="H122" s="296"/>
      <c r="I122" s="195"/>
    </row>
    <row r="123" spans="1:9" s="260" customFormat="1" ht="12.75" hidden="1" customHeight="1" x14ac:dyDescent="0.2">
      <c r="A123" s="198"/>
      <c r="B123" s="199"/>
      <c r="C123" s="219"/>
      <c r="D123" s="278" t="s">
        <v>327</v>
      </c>
      <c r="E123" s="200"/>
      <c r="F123" s="326"/>
      <c r="G123" s="200"/>
      <c r="H123" s="259"/>
      <c r="I123" s="316"/>
    </row>
    <row r="124" spans="1:9" s="260" customFormat="1" ht="12.75" customHeight="1" x14ac:dyDescent="0.2">
      <c r="A124" s="194">
        <f>A115+1</f>
        <v>12</v>
      </c>
      <c r="B124" s="195" t="s">
        <v>170</v>
      </c>
      <c r="C124" s="218" t="s">
        <v>203</v>
      </c>
      <c r="D124" s="493" t="str">
        <f>$D$5</f>
        <v>FTE September 2024</v>
      </c>
      <c r="E124" s="197">
        <f>'3382'!I$145</f>
        <v>184416.79</v>
      </c>
      <c r="F124" s="327"/>
      <c r="G124" s="197">
        <f>SUBTOTAL(109,E124:F132)</f>
        <v>184509.59</v>
      </c>
      <c r="H124" s="259"/>
      <c r="I124" s="316"/>
    </row>
    <row r="125" spans="1:9" s="260" customFormat="1" ht="12.75" customHeight="1" x14ac:dyDescent="0.2">
      <c r="A125" s="194"/>
      <c r="B125" s="195"/>
      <c r="C125" s="218"/>
      <c r="D125" s="548" t="s">
        <v>519</v>
      </c>
      <c r="E125" s="197"/>
      <c r="F125" s="327">
        <v>92.799999999988358</v>
      </c>
      <c r="G125" s="197"/>
      <c r="H125" s="296"/>
      <c r="I125" s="195"/>
    </row>
    <row r="126" spans="1:9" s="260" customFormat="1" ht="12.75" hidden="1" customHeight="1" x14ac:dyDescent="0.2">
      <c r="A126" s="194"/>
      <c r="B126" s="195"/>
      <c r="C126" s="218"/>
      <c r="D126" s="340" t="s">
        <v>473</v>
      </c>
      <c r="E126" s="197"/>
      <c r="F126" s="327"/>
      <c r="G126" s="197"/>
      <c r="H126" s="296"/>
      <c r="I126" s="195"/>
    </row>
    <row r="127" spans="1:9" s="260" customFormat="1" ht="12.75" hidden="1" customHeight="1" x14ac:dyDescent="0.2">
      <c r="A127" s="194"/>
      <c r="B127" s="195"/>
      <c r="C127" s="218"/>
      <c r="D127" s="231" t="s">
        <v>281</v>
      </c>
      <c r="E127" s="197"/>
      <c r="F127" s="327"/>
      <c r="G127" s="197"/>
      <c r="H127" s="259"/>
      <c r="I127" s="230"/>
    </row>
    <row r="128" spans="1:9" s="260" customFormat="1" ht="12.75" hidden="1" customHeight="1" x14ac:dyDescent="0.2">
      <c r="A128" s="194"/>
      <c r="B128" s="195"/>
      <c r="C128" s="218"/>
      <c r="D128" s="231" t="s">
        <v>280</v>
      </c>
      <c r="E128" s="197"/>
      <c r="F128" s="327"/>
      <c r="G128" s="197"/>
      <c r="H128" s="296"/>
      <c r="I128" s="195"/>
    </row>
    <row r="129" spans="1:16" s="260" customFormat="1" ht="12.75" hidden="1" customHeight="1" x14ac:dyDescent="0.2">
      <c r="A129" s="194"/>
      <c r="B129" s="195"/>
      <c r="C129" s="218"/>
      <c r="D129" s="231" t="s">
        <v>289</v>
      </c>
      <c r="E129" s="197"/>
      <c r="F129" s="327"/>
      <c r="G129" s="197"/>
      <c r="H129" s="296"/>
      <c r="I129" s="195"/>
    </row>
    <row r="130" spans="1:16" s="260" customFormat="1" ht="12.75" hidden="1" customHeight="1" x14ac:dyDescent="0.2">
      <c r="A130" s="194"/>
      <c r="B130" s="195"/>
      <c r="C130" s="218"/>
      <c r="D130" s="231" t="s">
        <v>258</v>
      </c>
      <c r="E130" s="197"/>
      <c r="F130" s="327"/>
      <c r="G130" s="197"/>
      <c r="H130" s="296"/>
      <c r="I130" s="195"/>
    </row>
    <row r="131" spans="1:16" s="260" customFormat="1" ht="12.75" hidden="1" customHeight="1" x14ac:dyDescent="0.2">
      <c r="A131" s="194"/>
      <c r="B131" s="195"/>
      <c r="C131" s="218"/>
      <c r="D131" s="231" t="s">
        <v>326</v>
      </c>
      <c r="E131" s="197"/>
      <c r="F131" s="327"/>
      <c r="G131" s="197"/>
      <c r="H131" s="259"/>
      <c r="I131" s="316"/>
    </row>
    <row r="132" spans="1:16" s="260" customFormat="1" ht="12.75" hidden="1" customHeight="1" x14ac:dyDescent="0.2">
      <c r="A132" s="194"/>
      <c r="B132" s="195"/>
      <c r="C132" s="230"/>
      <c r="D132" s="276" t="s">
        <v>327</v>
      </c>
      <c r="E132" s="197"/>
      <c r="F132" s="327"/>
      <c r="G132" s="197"/>
      <c r="H132" s="259"/>
      <c r="I132" s="318"/>
    </row>
    <row r="133" spans="1:16" ht="12.75" customHeight="1" x14ac:dyDescent="0.2">
      <c r="A133" s="198">
        <f>A124+1</f>
        <v>13</v>
      </c>
      <c r="B133" s="199" t="s">
        <v>171</v>
      </c>
      <c r="C133" s="219" t="s">
        <v>205</v>
      </c>
      <c r="D133" s="277" t="str">
        <f>$D$5</f>
        <v>FTE September 2024</v>
      </c>
      <c r="E133" s="200"/>
      <c r="F133" s="326"/>
      <c r="G133" s="200">
        <f>SUBTOTAL(109,E133:F141)</f>
        <v>0</v>
      </c>
      <c r="H133" s="297"/>
      <c r="I133" s="195"/>
    </row>
    <row r="134" spans="1:16" s="260" customFormat="1" ht="12.75" customHeight="1" x14ac:dyDescent="0.2">
      <c r="A134" s="198"/>
      <c r="B134" s="199"/>
      <c r="C134" s="219"/>
      <c r="D134" s="313" t="s">
        <v>519</v>
      </c>
      <c r="E134" s="200"/>
      <c r="F134" s="326"/>
      <c r="G134" s="200"/>
      <c r="H134" s="296"/>
      <c r="I134" s="195"/>
      <c r="P134" s="317"/>
    </row>
    <row r="135" spans="1:16" s="260" customFormat="1" ht="12.75" hidden="1" customHeight="1" x14ac:dyDescent="0.2">
      <c r="A135" s="198"/>
      <c r="B135" s="199"/>
      <c r="C135" s="219"/>
      <c r="D135" s="232" t="s">
        <v>473</v>
      </c>
      <c r="E135" s="200"/>
      <c r="F135" s="326"/>
      <c r="G135" s="200"/>
      <c r="H135" s="296"/>
      <c r="I135" s="195"/>
    </row>
    <row r="136" spans="1:16" s="260" customFormat="1" ht="12.75" hidden="1" customHeight="1" x14ac:dyDescent="0.2">
      <c r="A136" s="198"/>
      <c r="B136" s="199"/>
      <c r="C136" s="219"/>
      <c r="D136" s="372" t="s">
        <v>343</v>
      </c>
      <c r="E136" s="200"/>
      <c r="F136" s="326"/>
      <c r="G136" s="200"/>
      <c r="H136" s="259"/>
      <c r="I136" s="230"/>
    </row>
    <row r="137" spans="1:16" s="260" customFormat="1" ht="12.75" hidden="1" customHeight="1" x14ac:dyDescent="0.2">
      <c r="A137" s="198"/>
      <c r="B137" s="199"/>
      <c r="C137" s="219"/>
      <c r="D137" s="232" t="s">
        <v>281</v>
      </c>
      <c r="E137" s="200"/>
      <c r="F137" s="326"/>
      <c r="G137" s="200"/>
      <c r="H137" s="296"/>
      <c r="I137" s="195"/>
    </row>
    <row r="138" spans="1:16" s="260" customFormat="1" ht="12.75" hidden="1" customHeight="1" x14ac:dyDescent="0.2">
      <c r="A138" s="198"/>
      <c r="B138" s="199"/>
      <c r="C138" s="219"/>
      <c r="D138" s="232" t="s">
        <v>280</v>
      </c>
      <c r="E138" s="200"/>
      <c r="F138" s="326"/>
      <c r="G138" s="200"/>
      <c r="H138" s="296"/>
      <c r="I138" s="195"/>
    </row>
    <row r="139" spans="1:16" s="260" customFormat="1" ht="12.75" hidden="1" customHeight="1" x14ac:dyDescent="0.2">
      <c r="A139" s="198"/>
      <c r="B139" s="199"/>
      <c r="C139" s="219"/>
      <c r="D139" s="232" t="s">
        <v>289</v>
      </c>
      <c r="E139" s="200"/>
      <c r="F139" s="326"/>
      <c r="G139" s="200"/>
      <c r="H139" s="296"/>
      <c r="I139" s="195"/>
    </row>
    <row r="140" spans="1:16" s="260" customFormat="1" ht="12.75" hidden="1" customHeight="1" x14ac:dyDescent="0.2">
      <c r="A140" s="198"/>
      <c r="B140" s="199"/>
      <c r="C140" s="219"/>
      <c r="D140" s="232" t="s">
        <v>258</v>
      </c>
      <c r="E140" s="200"/>
      <c r="F140" s="326"/>
      <c r="G140" s="200"/>
      <c r="H140" s="259"/>
      <c r="I140" s="316"/>
    </row>
    <row r="141" spans="1:16" s="260" customFormat="1" ht="12.75" hidden="1" customHeight="1" x14ac:dyDescent="0.2">
      <c r="A141" s="198"/>
      <c r="B141" s="199"/>
      <c r="C141" s="219"/>
      <c r="D141" s="278"/>
      <c r="E141" s="200"/>
      <c r="F141" s="326"/>
      <c r="G141" s="200"/>
      <c r="H141" s="296"/>
      <c r="I141" s="316"/>
    </row>
    <row r="142" spans="1:16" ht="12.75" customHeight="1" x14ac:dyDescent="0.2">
      <c r="A142" s="194">
        <f>A133+1</f>
        <v>14</v>
      </c>
      <c r="B142" s="195" t="s">
        <v>172</v>
      </c>
      <c r="C142" s="218" t="s">
        <v>206</v>
      </c>
      <c r="D142" s="493" t="str">
        <f>$D$5</f>
        <v>FTE September 2024</v>
      </c>
      <c r="E142" s="197">
        <f>'3394'!I$145</f>
        <v>144845.64000000001</v>
      </c>
      <c r="F142" s="327"/>
      <c r="G142" s="197">
        <f>SUBTOTAL(109,E142:F151)</f>
        <v>144924.99</v>
      </c>
      <c r="H142" s="297"/>
      <c r="I142" s="195"/>
    </row>
    <row r="143" spans="1:16" s="260" customFormat="1" ht="12.75" customHeight="1" x14ac:dyDescent="0.2">
      <c r="A143" s="194"/>
      <c r="B143" s="195"/>
      <c r="C143" s="218"/>
      <c r="D143" s="548" t="s">
        <v>519</v>
      </c>
      <c r="E143" s="197"/>
      <c r="F143" s="327">
        <v>79.349999999976717</v>
      </c>
      <c r="G143" s="197"/>
      <c r="H143" s="296"/>
      <c r="I143" s="284"/>
    </row>
    <row r="144" spans="1:16" s="260" customFormat="1" ht="12.75" hidden="1" customHeight="1" x14ac:dyDescent="0.2">
      <c r="A144" s="194"/>
      <c r="B144" s="195"/>
      <c r="C144" s="218"/>
      <c r="D144" s="340" t="s">
        <v>473</v>
      </c>
      <c r="E144" s="197"/>
      <c r="F144" s="327"/>
      <c r="G144" s="197"/>
      <c r="H144" s="296"/>
      <c r="I144" s="284"/>
    </row>
    <row r="145" spans="1:9" s="260" customFormat="1" ht="12.75" hidden="1" customHeight="1" x14ac:dyDescent="0.2">
      <c r="A145" s="194"/>
      <c r="B145" s="195"/>
      <c r="C145" s="218"/>
      <c r="D145" s="231" t="s">
        <v>281</v>
      </c>
      <c r="E145" s="197"/>
      <c r="F145" s="327"/>
      <c r="G145" s="197"/>
      <c r="H145" s="259"/>
      <c r="I145" s="230"/>
    </row>
    <row r="146" spans="1:9" s="260" customFormat="1" ht="12.75" hidden="1" customHeight="1" x14ac:dyDescent="0.2">
      <c r="A146" s="194"/>
      <c r="B146" s="195"/>
      <c r="C146" s="218"/>
      <c r="D146" s="231" t="s">
        <v>280</v>
      </c>
      <c r="E146" s="197"/>
      <c r="F146" s="327"/>
      <c r="G146" s="197"/>
      <c r="H146" s="259"/>
      <c r="I146" s="230"/>
    </row>
    <row r="147" spans="1:9" s="260" customFormat="1" ht="12.75" hidden="1" customHeight="1" x14ac:dyDescent="0.2">
      <c r="A147" s="194"/>
      <c r="B147" s="195"/>
      <c r="C147" s="218"/>
      <c r="D147" s="231" t="s">
        <v>289</v>
      </c>
      <c r="E147" s="197"/>
      <c r="F147" s="327"/>
      <c r="G147" s="197"/>
      <c r="H147" s="296"/>
      <c r="I147" s="284"/>
    </row>
    <row r="148" spans="1:9" s="260" customFormat="1" ht="12.75" hidden="1" customHeight="1" x14ac:dyDescent="0.2">
      <c r="A148" s="194"/>
      <c r="B148" s="195"/>
      <c r="C148" s="218"/>
      <c r="D148" s="231" t="s">
        <v>258</v>
      </c>
      <c r="E148" s="197"/>
      <c r="F148" s="327"/>
      <c r="G148" s="197"/>
      <c r="H148" s="296"/>
      <c r="I148" s="284"/>
    </row>
    <row r="149" spans="1:9" s="260" customFormat="1" ht="12.75" hidden="1" customHeight="1" x14ac:dyDescent="0.2">
      <c r="A149" s="194"/>
      <c r="B149" s="195"/>
      <c r="C149" s="218"/>
      <c r="D149" s="231" t="s">
        <v>339</v>
      </c>
      <c r="E149" s="197"/>
      <c r="F149" s="327"/>
      <c r="G149" s="197"/>
      <c r="H149" s="296"/>
      <c r="I149" s="284"/>
    </row>
    <row r="150" spans="1:9" s="260" customFormat="1" ht="12.75" hidden="1" customHeight="1" x14ac:dyDescent="0.2">
      <c r="A150" s="194"/>
      <c r="B150" s="195"/>
      <c r="C150" s="218"/>
      <c r="D150" s="276" t="s">
        <v>368</v>
      </c>
      <c r="E150" s="197"/>
      <c r="F150" s="327"/>
      <c r="G150" s="197"/>
      <c r="H150" s="259"/>
      <c r="I150" s="316"/>
    </row>
    <row r="151" spans="1:9" s="260" customFormat="1" ht="12.75" hidden="1" customHeight="1" x14ac:dyDescent="0.2">
      <c r="A151" s="194"/>
      <c r="B151" s="195"/>
      <c r="C151" s="218"/>
      <c r="D151" s="276" t="s">
        <v>369</v>
      </c>
      <c r="E151" s="197"/>
      <c r="F151" s="327"/>
      <c r="G151" s="197"/>
      <c r="H151" s="259"/>
      <c r="I151" s="316"/>
    </row>
    <row r="152" spans="1:9" s="260" customFormat="1" ht="12.75" customHeight="1" x14ac:dyDescent="0.2">
      <c r="A152" s="198">
        <f>A142+1</f>
        <v>15</v>
      </c>
      <c r="B152" s="199" t="s">
        <v>173</v>
      </c>
      <c r="C152" s="262" t="s">
        <v>287</v>
      </c>
      <c r="D152" s="277" t="str">
        <f>$D$5</f>
        <v>FTE September 2024</v>
      </c>
      <c r="E152" s="200">
        <f>'3395'!I$145</f>
        <v>372039.83</v>
      </c>
      <c r="F152" s="326"/>
      <c r="G152" s="200">
        <f>SUBTOTAL(109,E152:F160)</f>
        <v>372134.8</v>
      </c>
      <c r="H152" s="296"/>
      <c r="I152" s="284"/>
    </row>
    <row r="153" spans="1:9" s="260" customFormat="1" ht="12.75" customHeight="1" x14ac:dyDescent="0.2">
      <c r="A153" s="198"/>
      <c r="B153" s="199"/>
      <c r="C153" s="219"/>
      <c r="D153" s="313" t="s">
        <v>519</v>
      </c>
      <c r="E153" s="200"/>
      <c r="F153" s="326">
        <v>94.96999999997206</v>
      </c>
      <c r="G153" s="200"/>
      <c r="H153" s="296"/>
      <c r="I153" s="284"/>
    </row>
    <row r="154" spans="1:9" s="260" customFormat="1" ht="12.75" hidden="1" customHeight="1" x14ac:dyDescent="0.2">
      <c r="A154" s="198"/>
      <c r="B154" s="199"/>
      <c r="C154" s="219"/>
      <c r="D154" s="372" t="s">
        <v>473</v>
      </c>
      <c r="E154" s="200"/>
      <c r="F154" s="326"/>
      <c r="G154" s="200"/>
      <c r="H154" s="259"/>
      <c r="I154" s="230"/>
    </row>
    <row r="155" spans="1:9" s="260" customFormat="1" ht="12.75" hidden="1" customHeight="1" x14ac:dyDescent="0.2">
      <c r="A155" s="198"/>
      <c r="B155" s="199"/>
      <c r="C155" s="219"/>
      <c r="D155" s="232" t="s">
        <v>281</v>
      </c>
      <c r="E155" s="200"/>
      <c r="F155" s="326"/>
      <c r="G155" s="200"/>
      <c r="H155" s="296"/>
      <c r="I155" s="284"/>
    </row>
    <row r="156" spans="1:9" s="260" customFormat="1" ht="12.75" hidden="1" customHeight="1" x14ac:dyDescent="0.2">
      <c r="A156" s="198"/>
      <c r="B156" s="199"/>
      <c r="C156" s="219"/>
      <c r="D156" s="232" t="s">
        <v>280</v>
      </c>
      <c r="E156" s="200"/>
      <c r="F156" s="326"/>
      <c r="G156" s="200"/>
      <c r="H156" s="296"/>
      <c r="I156" s="284"/>
    </row>
    <row r="157" spans="1:9" s="260" customFormat="1" ht="12.75" hidden="1" customHeight="1" x14ac:dyDescent="0.2">
      <c r="A157" s="198"/>
      <c r="B157" s="199"/>
      <c r="C157" s="219"/>
      <c r="D157" s="232" t="s">
        <v>289</v>
      </c>
      <c r="E157" s="200"/>
      <c r="F157" s="326"/>
      <c r="G157" s="200"/>
      <c r="H157" s="296"/>
      <c r="I157" s="284"/>
    </row>
    <row r="158" spans="1:9" s="260" customFormat="1" ht="12.75" hidden="1" customHeight="1" x14ac:dyDescent="0.2">
      <c r="A158" s="198"/>
      <c r="B158" s="199"/>
      <c r="C158" s="219"/>
      <c r="D158" s="232" t="s">
        <v>258</v>
      </c>
      <c r="E158" s="200"/>
      <c r="F158" s="326"/>
      <c r="G158" s="200"/>
      <c r="H158" s="259"/>
      <c r="I158" s="316"/>
    </row>
    <row r="159" spans="1:9" s="260" customFormat="1" ht="12.75" hidden="1" customHeight="1" x14ac:dyDescent="0.2">
      <c r="A159" s="198"/>
      <c r="B159" s="199"/>
      <c r="C159" s="219"/>
      <c r="D159" s="313" t="s">
        <v>435</v>
      </c>
      <c r="E159" s="200"/>
      <c r="F159" s="326"/>
      <c r="G159" s="200"/>
      <c r="H159" s="296"/>
      <c r="I159" s="318"/>
    </row>
    <row r="160" spans="1:9" s="260" customFormat="1" ht="12.75" hidden="1" customHeight="1" x14ac:dyDescent="0.2">
      <c r="A160" s="330"/>
      <c r="B160" s="199"/>
      <c r="C160" s="219"/>
      <c r="D160" s="313" t="s">
        <v>507</v>
      </c>
      <c r="E160" s="536"/>
      <c r="F160" s="326"/>
      <c r="G160" s="200"/>
      <c r="H160" s="296"/>
      <c r="I160" s="318"/>
    </row>
    <row r="161" spans="1:11" s="260" customFormat="1" ht="12.75" customHeight="1" x14ac:dyDescent="0.2">
      <c r="A161" s="194">
        <f>A152+1</f>
        <v>16</v>
      </c>
      <c r="B161" s="195" t="s">
        <v>174</v>
      </c>
      <c r="C161" s="261" t="s">
        <v>228</v>
      </c>
      <c r="D161" s="493" t="str">
        <f>$D$5</f>
        <v>FTE September 2024</v>
      </c>
      <c r="E161" s="197">
        <f>'3396'!I$145</f>
        <v>465112.24</v>
      </c>
      <c r="F161" s="327"/>
      <c r="G161" s="197">
        <f>SUBTOTAL(109,E161:F168)</f>
        <v>465199.85000000003</v>
      </c>
      <c r="H161" s="296"/>
      <c r="I161" s="284"/>
    </row>
    <row r="162" spans="1:11" s="260" customFormat="1" ht="12.75" customHeight="1" x14ac:dyDescent="0.2">
      <c r="A162" s="194"/>
      <c r="B162" s="195"/>
      <c r="C162" s="261"/>
      <c r="D162" s="548" t="s">
        <v>519</v>
      </c>
      <c r="E162" s="197"/>
      <c r="F162" s="327">
        <v>87.610000000044238</v>
      </c>
      <c r="G162" s="197"/>
      <c r="H162" s="296"/>
      <c r="I162" s="284"/>
    </row>
    <row r="163" spans="1:11" s="260" customFormat="1" ht="12.75" hidden="1" customHeight="1" x14ac:dyDescent="0.2">
      <c r="A163" s="194"/>
      <c r="B163" s="195"/>
      <c r="C163" s="261"/>
      <c r="D163" s="231" t="s">
        <v>473</v>
      </c>
      <c r="E163" s="197"/>
      <c r="F163" s="327"/>
      <c r="G163" s="197"/>
      <c r="H163" s="296"/>
      <c r="I163" s="284"/>
    </row>
    <row r="164" spans="1:11" s="260" customFormat="1" ht="12.75" hidden="1" customHeight="1" x14ac:dyDescent="0.2">
      <c r="A164" s="194"/>
      <c r="B164" s="195"/>
      <c r="C164" s="261"/>
      <c r="D164" s="231" t="s">
        <v>280</v>
      </c>
      <c r="E164" s="197"/>
      <c r="F164" s="327"/>
      <c r="G164" s="197"/>
      <c r="H164" s="259"/>
      <c r="I164" s="230"/>
    </row>
    <row r="165" spans="1:11" s="260" customFormat="1" ht="12.75" hidden="1" customHeight="1" x14ac:dyDescent="0.2">
      <c r="A165" s="194"/>
      <c r="B165" s="195"/>
      <c r="C165" s="261"/>
      <c r="D165" s="231" t="s">
        <v>289</v>
      </c>
      <c r="E165" s="197"/>
      <c r="F165" s="327"/>
      <c r="G165" s="197"/>
      <c r="H165" s="296"/>
      <c r="I165" s="284"/>
    </row>
    <row r="166" spans="1:11" s="260" customFormat="1" ht="12.75" hidden="1" customHeight="1" x14ac:dyDescent="0.2">
      <c r="A166" s="194"/>
      <c r="B166" s="195"/>
      <c r="C166" s="218"/>
      <c r="D166" s="231" t="s">
        <v>258</v>
      </c>
      <c r="E166" s="197"/>
      <c r="F166" s="327"/>
      <c r="G166" s="197"/>
      <c r="H166" s="296"/>
      <c r="I166" s="284"/>
    </row>
    <row r="167" spans="1:11" s="260" customFormat="1" ht="12.75" hidden="1" customHeight="1" x14ac:dyDescent="0.2">
      <c r="A167" s="194"/>
      <c r="B167" s="195"/>
      <c r="C167" s="218"/>
      <c r="D167" s="231" t="s">
        <v>339</v>
      </c>
      <c r="E167" s="197"/>
      <c r="F167" s="327"/>
      <c r="G167" s="197"/>
      <c r="H167" s="296"/>
      <c r="I167" s="284"/>
    </row>
    <row r="168" spans="1:11" s="260" customFormat="1" ht="12.75" hidden="1" customHeight="1" x14ac:dyDescent="0.2">
      <c r="A168" s="194"/>
      <c r="B168" s="195"/>
      <c r="C168" s="218"/>
      <c r="D168" s="276" t="s">
        <v>327</v>
      </c>
      <c r="E168" s="197"/>
      <c r="F168" s="327"/>
      <c r="G168" s="197"/>
      <c r="H168" s="259"/>
      <c r="I168" s="316"/>
    </row>
    <row r="169" spans="1:11" s="260" customFormat="1" ht="12.75" customHeight="1" x14ac:dyDescent="0.2">
      <c r="A169" s="198">
        <f>A161+1</f>
        <v>17</v>
      </c>
      <c r="B169" s="199" t="s">
        <v>175</v>
      </c>
      <c r="C169" s="219" t="s">
        <v>196</v>
      </c>
      <c r="D169" s="277" t="str">
        <f>$D$5</f>
        <v>FTE September 2024</v>
      </c>
      <c r="E169" s="200">
        <f>'3398'!I$145</f>
        <v>82683.14</v>
      </c>
      <c r="F169" s="326"/>
      <c r="G169" s="200">
        <f>SUBTOTAL(109,E169:F175)</f>
        <v>82725.75</v>
      </c>
      <c r="H169" s="296"/>
      <c r="I169" s="318"/>
    </row>
    <row r="170" spans="1:11" ht="12.75" customHeight="1" x14ac:dyDescent="0.2">
      <c r="A170" s="198"/>
      <c r="B170" s="199"/>
      <c r="C170" s="219"/>
      <c r="D170" s="313" t="s">
        <v>519</v>
      </c>
      <c r="E170" s="200"/>
      <c r="F170" s="326">
        <v>42.610000000000582</v>
      </c>
      <c r="G170" s="200"/>
      <c r="H170" s="297"/>
      <c r="I170" s="331"/>
    </row>
    <row r="171" spans="1:11" s="260" customFormat="1" ht="12.75" hidden="1" customHeight="1" x14ac:dyDescent="0.2">
      <c r="A171" s="198"/>
      <c r="B171" s="199"/>
      <c r="C171" s="219"/>
      <c r="D171" s="232" t="s">
        <v>473</v>
      </c>
      <c r="E171" s="200"/>
      <c r="F171" s="326"/>
      <c r="G171" s="200"/>
      <c r="H171" s="296"/>
      <c r="I171" s="284"/>
      <c r="K171" s="317"/>
    </row>
    <row r="172" spans="1:11" s="260" customFormat="1" ht="12.75" hidden="1" customHeight="1" x14ac:dyDescent="0.2">
      <c r="A172" s="198"/>
      <c r="B172" s="199"/>
      <c r="C172" s="219"/>
      <c r="D172" s="232" t="s">
        <v>280</v>
      </c>
      <c r="E172" s="200"/>
      <c r="F172" s="326"/>
      <c r="G172" s="200"/>
      <c r="H172" s="296"/>
      <c r="I172" s="284"/>
    </row>
    <row r="173" spans="1:11" s="260" customFormat="1" ht="12.75" hidden="1" customHeight="1" x14ac:dyDescent="0.2">
      <c r="A173" s="198"/>
      <c r="B173" s="199"/>
      <c r="C173" s="228"/>
      <c r="D173" s="232" t="s">
        <v>289</v>
      </c>
      <c r="E173" s="200"/>
      <c r="F173" s="326"/>
      <c r="G173" s="200"/>
      <c r="H173" s="296"/>
    </row>
    <row r="174" spans="1:11" s="260" customFormat="1" ht="12.75" hidden="1" customHeight="1" x14ac:dyDescent="0.2">
      <c r="A174" s="198"/>
      <c r="B174" s="199"/>
      <c r="C174" s="219"/>
      <c r="D174" s="232" t="s">
        <v>258</v>
      </c>
      <c r="E174" s="200"/>
      <c r="F174" s="326"/>
      <c r="G174" s="200"/>
      <c r="H174" s="296"/>
    </row>
    <row r="175" spans="1:11" s="260" customFormat="1" ht="12.75" hidden="1" customHeight="1" x14ac:dyDescent="0.2">
      <c r="A175" s="198"/>
      <c r="B175" s="199"/>
      <c r="C175" s="228"/>
      <c r="D175" s="278" t="s">
        <v>327</v>
      </c>
      <c r="E175" s="200"/>
      <c r="F175" s="326"/>
      <c r="G175" s="200"/>
      <c r="H175" s="296"/>
    </row>
    <row r="176" spans="1:11" s="260" customFormat="1" ht="12.75" customHeight="1" x14ac:dyDescent="0.2">
      <c r="A176" s="194">
        <f>A169+1</f>
        <v>18</v>
      </c>
      <c r="B176" s="195" t="s">
        <v>176</v>
      </c>
      <c r="C176" s="218" t="s">
        <v>190</v>
      </c>
      <c r="D176" s="493" t="str">
        <f>$D$5</f>
        <v>FTE September 2024</v>
      </c>
      <c r="E176" s="197">
        <f>'3400'!I$145</f>
        <v>93667.31</v>
      </c>
      <c r="F176" s="327"/>
      <c r="G176" s="197">
        <f>SUBTOTAL(109,E176:F183)</f>
        <v>93700.389999999985</v>
      </c>
      <c r="H176" s="259"/>
      <c r="I176" s="316"/>
    </row>
    <row r="177" spans="1:9" s="260" customFormat="1" ht="12.75" customHeight="1" x14ac:dyDescent="0.2">
      <c r="A177" s="194"/>
      <c r="B177" s="195"/>
      <c r="C177" s="218"/>
      <c r="D177" s="548" t="s">
        <v>519</v>
      </c>
      <c r="E177" s="197"/>
      <c r="F177" s="327">
        <v>33.079999999987194</v>
      </c>
      <c r="G177" s="197"/>
      <c r="H177" s="296"/>
      <c r="I177" s="318"/>
    </row>
    <row r="178" spans="1:9" s="260" customFormat="1" ht="12.75" hidden="1" customHeight="1" x14ac:dyDescent="0.2">
      <c r="A178" s="194"/>
      <c r="B178" s="195"/>
      <c r="C178" s="218"/>
      <c r="D178" s="340" t="s">
        <v>473</v>
      </c>
      <c r="E178" s="197"/>
      <c r="F178" s="327"/>
      <c r="G178" s="197"/>
      <c r="H178" s="296"/>
      <c r="I178" s="284"/>
    </row>
    <row r="179" spans="1:9" s="260" customFormat="1" ht="12.75" hidden="1" customHeight="1" x14ac:dyDescent="0.2">
      <c r="A179" s="194"/>
      <c r="B179" s="195"/>
      <c r="C179" s="218"/>
      <c r="D179" s="231" t="s">
        <v>281</v>
      </c>
      <c r="E179" s="197"/>
      <c r="F179" s="327"/>
      <c r="G179" s="197"/>
      <c r="H179" s="296"/>
      <c r="I179" s="284"/>
    </row>
    <row r="180" spans="1:9" s="260" customFormat="1" ht="12.75" hidden="1" customHeight="1" x14ac:dyDescent="0.2">
      <c r="A180" s="194"/>
      <c r="B180" s="195"/>
      <c r="C180" s="218"/>
      <c r="D180" s="231" t="s">
        <v>280</v>
      </c>
      <c r="E180" s="197"/>
      <c r="F180" s="327"/>
      <c r="G180" s="197"/>
      <c r="H180" s="296"/>
      <c r="I180" s="284"/>
    </row>
    <row r="181" spans="1:9" s="260" customFormat="1" ht="12.75" hidden="1" customHeight="1" x14ac:dyDescent="0.2">
      <c r="A181" s="194"/>
      <c r="B181" s="195"/>
      <c r="C181" s="218"/>
      <c r="D181" s="231" t="s">
        <v>289</v>
      </c>
      <c r="E181" s="197"/>
      <c r="F181" s="327"/>
      <c r="G181" s="197"/>
      <c r="H181" s="296"/>
    </row>
    <row r="182" spans="1:9" s="260" customFormat="1" ht="12.75" hidden="1" customHeight="1" x14ac:dyDescent="0.2">
      <c r="A182" s="194"/>
      <c r="B182" s="195"/>
      <c r="C182" s="218"/>
      <c r="D182" s="231" t="s">
        <v>258</v>
      </c>
      <c r="E182" s="197"/>
      <c r="F182" s="327"/>
      <c r="G182" s="197"/>
      <c r="H182" s="296"/>
      <c r="I182" s="188"/>
    </row>
    <row r="183" spans="1:9" ht="12.75" hidden="1" customHeight="1" x14ac:dyDescent="0.2">
      <c r="A183" s="194"/>
      <c r="B183" s="195"/>
      <c r="C183" s="218"/>
      <c r="D183" s="276" t="s">
        <v>327</v>
      </c>
      <c r="E183" s="197"/>
      <c r="F183" s="327"/>
      <c r="G183" s="197"/>
      <c r="H183" s="297"/>
    </row>
    <row r="184" spans="1:9" s="260" customFormat="1" ht="12.75" customHeight="1" x14ac:dyDescent="0.2">
      <c r="A184" s="198">
        <f>A176+1</f>
        <v>19</v>
      </c>
      <c r="B184" s="199" t="s">
        <v>177</v>
      </c>
      <c r="C184" s="219" t="s">
        <v>207</v>
      </c>
      <c r="D184" s="277" t="str">
        <f>$D$5</f>
        <v>FTE September 2024</v>
      </c>
      <c r="E184" s="200">
        <f>'3401'!I$145</f>
        <v>262610.42</v>
      </c>
      <c r="F184" s="326"/>
      <c r="G184" s="200">
        <f>SUBTOTAL(109,E184:F194)</f>
        <v>262697.58999999997</v>
      </c>
      <c r="H184" s="259"/>
      <c r="I184" s="316"/>
    </row>
    <row r="185" spans="1:9" ht="12.75" customHeight="1" x14ac:dyDescent="0.2">
      <c r="A185" s="198"/>
      <c r="B185" s="199"/>
      <c r="C185" s="219"/>
      <c r="D185" s="313" t="s">
        <v>519</v>
      </c>
      <c r="E185" s="200"/>
      <c r="F185" s="326">
        <v>87.169999999983702</v>
      </c>
      <c r="G185" s="200"/>
      <c r="H185" s="297"/>
      <c r="I185" s="284"/>
    </row>
    <row r="186" spans="1:9" s="260" customFormat="1" ht="12.75" hidden="1" customHeight="1" x14ac:dyDescent="0.2">
      <c r="A186" s="198"/>
      <c r="B186" s="199"/>
      <c r="C186" s="219"/>
      <c r="D186" s="372" t="s">
        <v>473</v>
      </c>
      <c r="E186" s="200"/>
      <c r="F186" s="326"/>
      <c r="G186" s="200"/>
      <c r="H186" s="296"/>
      <c r="I186" s="284"/>
    </row>
    <row r="187" spans="1:9" s="260" customFormat="1" ht="12.75" hidden="1" customHeight="1" x14ac:dyDescent="0.2">
      <c r="A187" s="198"/>
      <c r="B187" s="199"/>
      <c r="C187" s="219"/>
      <c r="D187" s="232" t="s">
        <v>345</v>
      </c>
      <c r="E187" s="200"/>
      <c r="F187" s="326"/>
      <c r="G187" s="200"/>
      <c r="H187" s="296"/>
      <c r="I187" s="284"/>
    </row>
    <row r="188" spans="1:9" s="260" customFormat="1" ht="12.75" hidden="1" customHeight="1" x14ac:dyDescent="0.2">
      <c r="A188" s="198"/>
      <c r="B188" s="199"/>
      <c r="C188" s="219"/>
      <c r="D188" s="232" t="s">
        <v>346</v>
      </c>
      <c r="E188" s="200"/>
      <c r="F188" s="326"/>
      <c r="G188" s="200"/>
      <c r="H188" s="259"/>
      <c r="I188" s="230"/>
    </row>
    <row r="189" spans="1:9" s="260" customFormat="1" ht="12.75" hidden="1" customHeight="1" x14ac:dyDescent="0.2">
      <c r="A189" s="198"/>
      <c r="B189" s="199"/>
      <c r="C189" s="219"/>
      <c r="D189" s="232" t="s">
        <v>281</v>
      </c>
      <c r="E189" s="200"/>
      <c r="F189" s="326"/>
      <c r="G189" s="200"/>
      <c r="H189" s="296"/>
    </row>
    <row r="190" spans="1:9" s="260" customFormat="1" ht="12.75" hidden="1" customHeight="1" x14ac:dyDescent="0.2">
      <c r="A190" s="198"/>
      <c r="B190" s="199"/>
      <c r="C190" s="219"/>
      <c r="D190" s="232" t="s">
        <v>280</v>
      </c>
      <c r="E190" s="200"/>
      <c r="F190" s="326"/>
      <c r="G190" s="200"/>
      <c r="H190" s="296"/>
    </row>
    <row r="191" spans="1:9" s="260" customFormat="1" ht="12.75" hidden="1" customHeight="1" x14ac:dyDescent="0.2">
      <c r="A191" s="198"/>
      <c r="B191" s="199"/>
      <c r="C191" s="219"/>
      <c r="D191" s="232" t="s">
        <v>289</v>
      </c>
      <c r="E191" s="200"/>
      <c r="F191" s="326"/>
      <c r="G191" s="200"/>
      <c r="H191" s="296"/>
      <c r="I191" s="195"/>
    </row>
    <row r="192" spans="1:9" s="260" customFormat="1" ht="12.75" hidden="1" customHeight="1" x14ac:dyDescent="0.2">
      <c r="A192" s="198"/>
      <c r="B192" s="199"/>
      <c r="C192" s="219"/>
      <c r="D192" s="232" t="s">
        <v>258</v>
      </c>
      <c r="E192" s="200"/>
      <c r="F192" s="326"/>
      <c r="G192" s="200"/>
      <c r="H192" s="259"/>
      <c r="I192" s="316"/>
    </row>
    <row r="193" spans="1:9" s="260" customFormat="1" ht="12.75" hidden="1" customHeight="1" x14ac:dyDescent="0.2">
      <c r="A193" s="198"/>
      <c r="B193" s="199"/>
      <c r="C193" s="228"/>
      <c r="D193" s="313" t="s">
        <v>340</v>
      </c>
      <c r="E193" s="200"/>
      <c r="F193" s="326"/>
      <c r="G193" s="200"/>
      <c r="H193" s="259"/>
      <c r="I193" s="316"/>
    </row>
    <row r="194" spans="1:9" s="260" customFormat="1" ht="12.75" hidden="1" customHeight="1" x14ac:dyDescent="0.2">
      <c r="A194" s="198"/>
      <c r="B194" s="199"/>
      <c r="C194" s="219"/>
      <c r="D194" s="278" t="s">
        <v>327</v>
      </c>
      <c r="E194" s="200"/>
      <c r="F194" s="326"/>
      <c r="G194" s="200"/>
      <c r="H194" s="296"/>
      <c r="I194" s="195"/>
    </row>
    <row r="195" spans="1:9" s="260" customFormat="1" ht="12.75" customHeight="1" x14ac:dyDescent="0.2">
      <c r="A195" s="194">
        <f>A184+1</f>
        <v>20</v>
      </c>
      <c r="B195" s="195" t="s">
        <v>178</v>
      </c>
      <c r="C195" s="218" t="s">
        <v>208</v>
      </c>
      <c r="D195" s="493" t="str">
        <f>$D$5</f>
        <v>FTE September 2024</v>
      </c>
      <c r="E195" s="197">
        <f>'3413'!I$145</f>
        <v>272417.49</v>
      </c>
      <c r="F195" s="327"/>
      <c r="G195" s="197">
        <f>SUBTOTAL(109,E195:F202)</f>
        <v>272455.64999999997</v>
      </c>
      <c r="H195" s="296"/>
      <c r="I195" s="195"/>
    </row>
    <row r="196" spans="1:9" s="260" customFormat="1" ht="12.75" customHeight="1" x14ac:dyDescent="0.2">
      <c r="A196" s="194"/>
      <c r="B196" s="195"/>
      <c r="C196" s="218"/>
      <c r="D196" s="548" t="s">
        <v>519</v>
      </c>
      <c r="E196" s="197"/>
      <c r="F196" s="327">
        <v>38.159999999974389</v>
      </c>
      <c r="G196" s="197"/>
      <c r="H196" s="296"/>
      <c r="I196" s="195"/>
    </row>
    <row r="197" spans="1:9" s="260" customFormat="1" ht="12.75" hidden="1" customHeight="1" x14ac:dyDescent="0.2">
      <c r="A197" s="194"/>
      <c r="B197" s="195"/>
      <c r="C197" s="218"/>
      <c r="D197" s="340" t="s">
        <v>473</v>
      </c>
      <c r="E197" s="197"/>
      <c r="F197" s="327"/>
      <c r="G197" s="197"/>
      <c r="H197" s="296"/>
      <c r="I197" s="195"/>
    </row>
    <row r="198" spans="1:9" s="260" customFormat="1" ht="12.75" hidden="1" customHeight="1" x14ac:dyDescent="0.2">
      <c r="A198" s="194"/>
      <c r="B198" s="195"/>
      <c r="C198" s="218"/>
      <c r="D198" s="231" t="s">
        <v>281</v>
      </c>
      <c r="E198" s="197"/>
      <c r="F198" s="327"/>
      <c r="G198" s="197"/>
      <c r="H198" s="296"/>
      <c r="I198" s="195"/>
    </row>
    <row r="199" spans="1:9" s="260" customFormat="1" ht="12.75" hidden="1" customHeight="1" x14ac:dyDescent="0.2">
      <c r="A199" s="194"/>
      <c r="B199" s="195"/>
      <c r="C199" s="218"/>
      <c r="D199" s="231" t="s">
        <v>280</v>
      </c>
      <c r="E199" s="197"/>
      <c r="F199" s="327"/>
      <c r="G199" s="197"/>
      <c r="H199" s="296"/>
      <c r="I199" s="195"/>
    </row>
    <row r="200" spans="1:9" s="260" customFormat="1" ht="12.75" hidden="1" customHeight="1" x14ac:dyDescent="0.2">
      <c r="A200" s="194"/>
      <c r="B200" s="195"/>
      <c r="C200" s="218"/>
      <c r="D200" s="231" t="s">
        <v>289</v>
      </c>
      <c r="E200" s="197"/>
      <c r="F200" s="327"/>
      <c r="G200" s="197"/>
      <c r="H200" s="296"/>
      <c r="I200" s="195"/>
    </row>
    <row r="201" spans="1:9" s="260" customFormat="1" ht="12.75" hidden="1" customHeight="1" x14ac:dyDescent="0.2">
      <c r="A201" s="194"/>
      <c r="B201" s="195"/>
      <c r="C201" s="218"/>
      <c r="D201" s="231" t="s">
        <v>258</v>
      </c>
      <c r="E201" s="197"/>
      <c r="F201" s="327"/>
      <c r="G201" s="197"/>
      <c r="H201" s="296"/>
      <c r="I201" s="195"/>
    </row>
    <row r="202" spans="1:9" s="260" customFormat="1" ht="12.75" hidden="1" customHeight="1" x14ac:dyDescent="0.2">
      <c r="A202" s="194"/>
      <c r="B202" s="195"/>
      <c r="C202" s="218"/>
      <c r="D202" s="276" t="s">
        <v>327</v>
      </c>
      <c r="E202" s="197"/>
      <c r="F202" s="327"/>
      <c r="G202" s="197"/>
      <c r="H202" s="259"/>
      <c r="I202" s="316"/>
    </row>
    <row r="203" spans="1:9" s="260" customFormat="1" ht="12.75" customHeight="1" x14ac:dyDescent="0.2">
      <c r="A203" s="198">
        <f>A195+1</f>
        <v>21</v>
      </c>
      <c r="B203" s="199" t="s">
        <v>179</v>
      </c>
      <c r="C203" s="219" t="s">
        <v>209</v>
      </c>
      <c r="D203" s="277" t="str">
        <f>$D$5</f>
        <v>FTE September 2024</v>
      </c>
      <c r="E203" s="200">
        <f>'3421'!I$145</f>
        <v>270504.44</v>
      </c>
      <c r="F203" s="326"/>
      <c r="G203" s="200">
        <f>SUBTOTAL(109,E203:F213)</f>
        <v>270591.83</v>
      </c>
      <c r="H203" s="296"/>
      <c r="I203" s="321"/>
    </row>
    <row r="204" spans="1:9" s="260" customFormat="1" ht="12.75" customHeight="1" x14ac:dyDescent="0.2">
      <c r="A204" s="198"/>
      <c r="B204" s="199"/>
      <c r="C204" s="219"/>
      <c r="D204" s="313" t="s">
        <v>519</v>
      </c>
      <c r="E204" s="200"/>
      <c r="F204" s="326">
        <v>87.39000000001397</v>
      </c>
      <c r="G204" s="200"/>
      <c r="H204" s="259"/>
      <c r="I204" s="316"/>
    </row>
    <row r="205" spans="1:9" s="260" customFormat="1" ht="12.75" hidden="1" customHeight="1" x14ac:dyDescent="0.2">
      <c r="A205" s="198"/>
      <c r="B205" s="199"/>
      <c r="C205" s="219"/>
      <c r="D205" s="372" t="s">
        <v>353</v>
      </c>
      <c r="E205" s="200"/>
      <c r="F205" s="326"/>
      <c r="G205" s="200"/>
      <c r="H205" s="296"/>
      <c r="I205" s="195"/>
    </row>
    <row r="206" spans="1:9" s="260" customFormat="1" ht="12.75" hidden="1" customHeight="1" x14ac:dyDescent="0.2">
      <c r="A206" s="198"/>
      <c r="B206" s="199"/>
      <c r="C206" s="219"/>
      <c r="D206" s="232" t="s">
        <v>345</v>
      </c>
      <c r="E206" s="200"/>
      <c r="F206" s="326"/>
      <c r="G206" s="200"/>
      <c r="H206" s="296"/>
      <c r="I206" s="195"/>
    </row>
    <row r="207" spans="1:9" s="260" customFormat="1" ht="12.75" hidden="1" customHeight="1" x14ac:dyDescent="0.2">
      <c r="A207" s="198"/>
      <c r="B207" s="199"/>
      <c r="C207" s="219"/>
      <c r="D207" s="232" t="s">
        <v>346</v>
      </c>
      <c r="E207" s="200"/>
      <c r="F207" s="326"/>
      <c r="G207" s="200"/>
      <c r="H207" s="259"/>
      <c r="I207" s="230"/>
    </row>
    <row r="208" spans="1:9" s="260" customFormat="1" ht="12.75" hidden="1" customHeight="1" x14ac:dyDescent="0.2">
      <c r="A208" s="198"/>
      <c r="B208" s="199"/>
      <c r="C208" s="219"/>
      <c r="D208" s="232" t="s">
        <v>281</v>
      </c>
      <c r="E208" s="200"/>
      <c r="F208" s="326"/>
      <c r="G208" s="200"/>
      <c r="H208" s="296"/>
    </row>
    <row r="209" spans="1:9" s="260" customFormat="1" ht="12.75" hidden="1" customHeight="1" x14ac:dyDescent="0.2">
      <c r="A209" s="198"/>
      <c r="B209" s="199"/>
      <c r="C209" s="219"/>
      <c r="D209" s="232" t="s">
        <v>280</v>
      </c>
      <c r="E209" s="200"/>
      <c r="F209" s="326"/>
      <c r="G209" s="200"/>
      <c r="H209" s="296"/>
    </row>
    <row r="210" spans="1:9" s="260" customFormat="1" ht="12.75" hidden="1" customHeight="1" x14ac:dyDescent="0.2">
      <c r="A210" s="198"/>
      <c r="B210" s="199"/>
      <c r="C210" s="219"/>
      <c r="D210" s="232" t="s">
        <v>289</v>
      </c>
      <c r="E210" s="200"/>
      <c r="F210" s="326"/>
      <c r="G210" s="200"/>
      <c r="H210" s="296"/>
    </row>
    <row r="211" spans="1:9" s="260" customFormat="1" ht="12.75" hidden="1" customHeight="1" x14ac:dyDescent="0.2">
      <c r="A211" s="198"/>
      <c r="B211" s="199"/>
      <c r="C211" s="219"/>
      <c r="D211" s="232" t="s">
        <v>258</v>
      </c>
      <c r="E211" s="200"/>
      <c r="F211" s="326"/>
      <c r="G211" s="200"/>
      <c r="H211" s="259"/>
      <c r="I211" s="316"/>
    </row>
    <row r="212" spans="1:9" s="260" customFormat="1" ht="12.75" hidden="1" customHeight="1" x14ac:dyDescent="0.2">
      <c r="A212" s="198"/>
      <c r="B212" s="199"/>
      <c r="C212" s="228"/>
      <c r="D212" s="313" t="s">
        <v>340</v>
      </c>
      <c r="E212" s="200"/>
      <c r="F212" s="326"/>
      <c r="G212" s="200"/>
      <c r="H212" s="259"/>
      <c r="I212" s="316"/>
    </row>
    <row r="213" spans="1:9" s="260" customFormat="1" ht="12.75" hidden="1" customHeight="1" x14ac:dyDescent="0.2">
      <c r="A213" s="198"/>
      <c r="B213" s="199"/>
      <c r="C213" s="219"/>
      <c r="D213" s="278" t="s">
        <v>327</v>
      </c>
      <c r="E213" s="200"/>
      <c r="F213" s="326"/>
      <c r="G213" s="200"/>
      <c r="H213" s="296"/>
    </row>
    <row r="214" spans="1:9" s="260" customFormat="1" ht="12.75" customHeight="1" x14ac:dyDescent="0.2">
      <c r="A214" s="194">
        <f>A203+1</f>
        <v>22</v>
      </c>
      <c r="B214" s="195" t="s">
        <v>180</v>
      </c>
      <c r="C214" s="218" t="s">
        <v>211</v>
      </c>
      <c r="D214" s="493" t="str">
        <f>$D$5</f>
        <v>FTE September 2024</v>
      </c>
      <c r="E214" s="197">
        <f>'3431'!I$145</f>
        <v>705634.01</v>
      </c>
      <c r="F214" s="327"/>
      <c r="G214" s="197">
        <f>SUBTOTAL(109,E214:F223)</f>
        <v>705671.4800000001</v>
      </c>
      <c r="H214" s="296"/>
    </row>
    <row r="215" spans="1:9" s="260" customFormat="1" ht="12.75" customHeight="1" x14ac:dyDescent="0.2">
      <c r="A215" s="194"/>
      <c r="B215" s="195"/>
      <c r="C215" s="218"/>
      <c r="D215" s="548" t="s">
        <v>519</v>
      </c>
      <c r="E215" s="197"/>
      <c r="F215" s="327">
        <v>37.470000000088476</v>
      </c>
      <c r="G215" s="197"/>
      <c r="H215" s="296"/>
      <c r="I215" s="195"/>
    </row>
    <row r="216" spans="1:9" s="260" customFormat="1" ht="12.75" hidden="1" customHeight="1" x14ac:dyDescent="0.2">
      <c r="A216" s="194"/>
      <c r="B216" s="195"/>
      <c r="C216" s="218"/>
      <c r="D216" s="340" t="s">
        <v>473</v>
      </c>
      <c r="E216" s="197"/>
      <c r="F216" s="327"/>
      <c r="G216" s="197"/>
      <c r="H216" s="296"/>
      <c r="I216" s="195"/>
    </row>
    <row r="217" spans="1:9" s="260" customFormat="1" ht="12.75" hidden="1" customHeight="1" x14ac:dyDescent="0.2">
      <c r="A217" s="194"/>
      <c r="B217" s="195"/>
      <c r="C217" s="218"/>
      <c r="D217" s="231" t="s">
        <v>281</v>
      </c>
      <c r="E217" s="197"/>
      <c r="F217" s="327"/>
      <c r="G217" s="197"/>
      <c r="H217" s="296"/>
      <c r="I217" s="195"/>
    </row>
    <row r="218" spans="1:9" s="260" customFormat="1" ht="12.75" hidden="1" customHeight="1" x14ac:dyDescent="0.2">
      <c r="A218" s="194"/>
      <c r="B218" s="195"/>
      <c r="C218" s="218"/>
      <c r="D218" s="231" t="s">
        <v>336</v>
      </c>
      <c r="E218" s="197"/>
      <c r="F218" s="327"/>
      <c r="G218" s="197"/>
      <c r="H218" s="296"/>
    </row>
    <row r="219" spans="1:9" s="260" customFormat="1" ht="12.75" hidden="1" customHeight="1" x14ac:dyDescent="0.2">
      <c r="A219" s="194"/>
      <c r="B219" s="195"/>
      <c r="C219" s="218"/>
      <c r="D219" s="231" t="s">
        <v>289</v>
      </c>
      <c r="E219" s="197"/>
      <c r="F219" s="327"/>
      <c r="G219" s="197"/>
      <c r="H219" s="296"/>
      <c r="I219" s="195"/>
    </row>
    <row r="220" spans="1:9" s="260" customFormat="1" ht="12.75" hidden="1" customHeight="1" x14ac:dyDescent="0.2">
      <c r="A220" s="194"/>
      <c r="B220" s="195"/>
      <c r="C220" s="218"/>
      <c r="D220" s="231" t="s">
        <v>258</v>
      </c>
      <c r="E220" s="197"/>
      <c r="F220" s="327"/>
      <c r="G220" s="197"/>
      <c r="H220" s="296"/>
    </row>
    <row r="221" spans="1:9" s="260" customFormat="1" ht="12.75" hidden="1" customHeight="1" x14ac:dyDescent="0.2">
      <c r="A221" s="194"/>
      <c r="B221" s="195"/>
      <c r="C221" s="218"/>
      <c r="D221" s="231" t="s">
        <v>296</v>
      </c>
      <c r="E221" s="197"/>
      <c r="F221" s="327"/>
      <c r="G221" s="197"/>
      <c r="H221" s="259"/>
      <c r="I221" s="316"/>
    </row>
    <row r="222" spans="1:9" s="260" customFormat="1" ht="12.75" hidden="1" customHeight="1" x14ac:dyDescent="0.2">
      <c r="A222" s="194"/>
      <c r="B222" s="195"/>
      <c r="C222" s="230"/>
      <c r="D222" s="341" t="s">
        <v>340</v>
      </c>
      <c r="E222" s="197"/>
      <c r="F222" s="327"/>
      <c r="G222" s="197"/>
      <c r="H222" s="296"/>
      <c r="I222" s="321"/>
    </row>
    <row r="223" spans="1:9" s="260" customFormat="1" ht="12.75" hidden="1" customHeight="1" x14ac:dyDescent="0.2">
      <c r="A223" s="194"/>
      <c r="B223" s="195"/>
      <c r="C223" s="218"/>
      <c r="D223" s="276" t="s">
        <v>342</v>
      </c>
      <c r="E223" s="197"/>
      <c r="F223" s="327"/>
      <c r="G223" s="197"/>
      <c r="H223" s="259"/>
      <c r="I223" s="316"/>
    </row>
    <row r="224" spans="1:9" s="260" customFormat="1" ht="12.75" customHeight="1" x14ac:dyDescent="0.2">
      <c r="A224" s="198">
        <f>A214+1</f>
        <v>23</v>
      </c>
      <c r="B224" s="199">
        <v>3441</v>
      </c>
      <c r="C224" s="262" t="s">
        <v>229</v>
      </c>
      <c r="D224" s="277" t="str">
        <f>$D$5</f>
        <v>FTE September 2024</v>
      </c>
      <c r="E224" s="200">
        <f>'3441'!I$145</f>
        <v>363387.69</v>
      </c>
      <c r="F224" s="326"/>
      <c r="G224" s="200">
        <f>SUBTOTAL(109,E224:F232)</f>
        <v>363476.13</v>
      </c>
      <c r="H224" s="296"/>
    </row>
    <row r="225" spans="1:9" s="260" customFormat="1" ht="12.75" customHeight="1" x14ac:dyDescent="0.2">
      <c r="A225" s="198"/>
      <c r="B225" s="199"/>
      <c r="C225" s="262"/>
      <c r="D225" s="313" t="s">
        <v>519</v>
      </c>
      <c r="E225" s="200"/>
      <c r="F225" s="326">
        <v>88.440000000002328</v>
      </c>
      <c r="G225" s="200"/>
      <c r="H225" s="296"/>
    </row>
    <row r="226" spans="1:9" s="260" customFormat="1" ht="12.75" hidden="1" customHeight="1" x14ac:dyDescent="0.2">
      <c r="A226" s="198"/>
      <c r="B226" s="199"/>
      <c r="C226" s="219"/>
      <c r="D226" s="372" t="s">
        <v>473</v>
      </c>
      <c r="E226" s="200"/>
      <c r="F226" s="326"/>
      <c r="G226" s="200"/>
      <c r="H226" s="296"/>
      <c r="I226" s="195"/>
    </row>
    <row r="227" spans="1:9" s="260" customFormat="1" ht="12.75" hidden="1" customHeight="1" x14ac:dyDescent="0.2">
      <c r="A227" s="198"/>
      <c r="B227" s="199"/>
      <c r="C227" s="262"/>
      <c r="D227" s="232" t="s">
        <v>281</v>
      </c>
      <c r="E227" s="200"/>
      <c r="F227" s="326"/>
      <c r="G227" s="200"/>
      <c r="H227" s="296"/>
    </row>
    <row r="228" spans="1:9" s="260" customFormat="1" ht="12.75" hidden="1" customHeight="1" x14ac:dyDescent="0.2">
      <c r="A228" s="198"/>
      <c r="B228" s="199"/>
      <c r="C228" s="219"/>
      <c r="D228" s="232" t="s">
        <v>280</v>
      </c>
      <c r="E228" s="200"/>
      <c r="F228" s="326"/>
      <c r="G228" s="200"/>
      <c r="H228" s="296"/>
      <c r="I228" s="195"/>
    </row>
    <row r="229" spans="1:9" s="260" customFormat="1" ht="12.75" hidden="1" customHeight="1" x14ac:dyDescent="0.2">
      <c r="A229" s="198"/>
      <c r="B229" s="199"/>
      <c r="C229" s="219"/>
      <c r="D229" s="232" t="s">
        <v>289</v>
      </c>
      <c r="E229" s="200"/>
      <c r="F229" s="326"/>
      <c r="G229" s="200"/>
      <c r="H229" s="296"/>
      <c r="I229" s="195"/>
    </row>
    <row r="230" spans="1:9" s="260" customFormat="1" ht="12.75" hidden="1" customHeight="1" x14ac:dyDescent="0.2">
      <c r="A230" s="198"/>
      <c r="B230" s="199"/>
      <c r="C230" s="219"/>
      <c r="D230" s="232" t="s">
        <v>258</v>
      </c>
      <c r="E230" s="200"/>
      <c r="F230" s="326"/>
      <c r="G230" s="200"/>
      <c r="H230" s="296"/>
      <c r="I230" s="316"/>
    </row>
    <row r="231" spans="1:9" s="260" customFormat="1" ht="12.75" hidden="1" customHeight="1" x14ac:dyDescent="0.2">
      <c r="A231" s="198"/>
      <c r="B231" s="199"/>
      <c r="C231" s="219"/>
      <c r="D231" s="232" t="s">
        <v>296</v>
      </c>
      <c r="E231" s="200"/>
      <c r="F231" s="326"/>
      <c r="G231" s="200"/>
      <c r="H231" s="296"/>
      <c r="I231" s="284"/>
    </row>
    <row r="232" spans="1:9" s="260" customFormat="1" ht="12.75" hidden="1" customHeight="1" x14ac:dyDescent="0.2">
      <c r="A232" s="198"/>
      <c r="B232" s="199"/>
      <c r="C232" s="219"/>
      <c r="D232" s="278" t="s">
        <v>327</v>
      </c>
      <c r="E232" s="200"/>
      <c r="F232" s="326"/>
      <c r="G232" s="200"/>
      <c r="H232" s="296"/>
      <c r="I232" s="321"/>
    </row>
    <row r="233" spans="1:9" s="260" customFormat="1" ht="12.75" customHeight="1" x14ac:dyDescent="0.2">
      <c r="A233" s="194">
        <f>A224+1</f>
        <v>24</v>
      </c>
      <c r="B233" s="195">
        <v>3924</v>
      </c>
      <c r="C233" s="261" t="s">
        <v>358</v>
      </c>
      <c r="D233" s="493" t="str">
        <f>$D$5</f>
        <v>FTE September 2024</v>
      </c>
      <c r="E233" s="197">
        <f>'3924'!I$145</f>
        <v>322172.34999999998</v>
      </c>
      <c r="F233" s="327"/>
      <c r="G233" s="197">
        <f>SUBTOTAL(109,E233:F242)</f>
        <v>322261.80999999994</v>
      </c>
      <c r="H233" s="296"/>
    </row>
    <row r="234" spans="1:9" s="260" customFormat="1" ht="12.75" customHeight="1" x14ac:dyDescent="0.2">
      <c r="A234" s="194"/>
      <c r="B234" s="195"/>
      <c r="C234" s="218"/>
      <c r="D234" s="548" t="s">
        <v>519</v>
      </c>
      <c r="E234" s="197"/>
      <c r="F234" s="327">
        <v>89.459999999962747</v>
      </c>
      <c r="G234" s="197"/>
      <c r="H234" s="296"/>
    </row>
    <row r="235" spans="1:9" s="260" customFormat="1" ht="12.75" hidden="1" customHeight="1" x14ac:dyDescent="0.2">
      <c r="A235" s="194"/>
      <c r="B235" s="195"/>
      <c r="C235" s="218"/>
      <c r="D235" s="340" t="s">
        <v>473</v>
      </c>
      <c r="E235" s="197"/>
      <c r="F235" s="327"/>
      <c r="G235" s="197"/>
      <c r="H235" s="296"/>
    </row>
    <row r="236" spans="1:9" s="260" customFormat="1" ht="12.75" hidden="1" customHeight="1" x14ac:dyDescent="0.2">
      <c r="A236" s="194"/>
      <c r="B236" s="195"/>
      <c r="C236" s="218"/>
      <c r="D236" s="340" t="s">
        <v>343</v>
      </c>
      <c r="E236" s="197"/>
      <c r="F236" s="327"/>
      <c r="G236" s="197"/>
      <c r="H236" s="259"/>
      <c r="I236" s="230"/>
    </row>
    <row r="237" spans="1:9" s="260" customFormat="1" ht="12.75" hidden="1" customHeight="1" x14ac:dyDescent="0.2">
      <c r="A237" s="194"/>
      <c r="B237" s="195"/>
      <c r="C237" s="218"/>
      <c r="D237" s="231" t="s">
        <v>281</v>
      </c>
      <c r="E237" s="197"/>
      <c r="F237" s="327"/>
      <c r="G237" s="197"/>
      <c r="H237" s="296"/>
    </row>
    <row r="238" spans="1:9" s="260" customFormat="1" ht="12.75" hidden="1" customHeight="1" x14ac:dyDescent="0.2">
      <c r="A238" s="194"/>
      <c r="B238" s="195"/>
      <c r="C238" s="218"/>
      <c r="D238" s="231" t="s">
        <v>280</v>
      </c>
      <c r="E238" s="197"/>
      <c r="F238" s="327"/>
      <c r="G238" s="197"/>
      <c r="H238" s="296"/>
    </row>
    <row r="239" spans="1:9" s="260" customFormat="1" ht="12.75" hidden="1" customHeight="1" x14ac:dyDescent="0.2">
      <c r="A239" s="194"/>
      <c r="B239" s="195"/>
      <c r="C239" s="218"/>
      <c r="D239" s="231" t="s">
        <v>289</v>
      </c>
      <c r="E239" s="197"/>
      <c r="F239" s="327"/>
      <c r="G239" s="197"/>
      <c r="H239" s="296"/>
      <c r="I239" s="195"/>
    </row>
    <row r="240" spans="1:9" s="260" customFormat="1" ht="12.75" hidden="1" customHeight="1" x14ac:dyDescent="0.2">
      <c r="A240" s="194"/>
      <c r="B240" s="195"/>
      <c r="C240" s="218"/>
      <c r="D240" s="231" t="s">
        <v>258</v>
      </c>
      <c r="E240" s="197"/>
      <c r="F240" s="327"/>
      <c r="G240" s="197"/>
      <c r="H240" s="259"/>
      <c r="I240" s="316"/>
    </row>
    <row r="241" spans="1:9" s="260" customFormat="1" ht="12.75" hidden="1" customHeight="1" x14ac:dyDescent="0.2">
      <c r="A241" s="194"/>
      <c r="B241" s="195"/>
      <c r="C241" s="230"/>
      <c r="D241" s="341" t="s">
        <v>340</v>
      </c>
      <c r="E241" s="197"/>
      <c r="F241" s="327"/>
      <c r="G241" s="197"/>
      <c r="H241" s="296"/>
    </row>
    <row r="242" spans="1:9" s="260" customFormat="1" ht="12.75" hidden="1" customHeight="1" x14ac:dyDescent="0.2">
      <c r="A242" s="194"/>
      <c r="B242" s="195"/>
      <c r="C242" s="218"/>
      <c r="D242" s="276" t="s">
        <v>370</v>
      </c>
      <c r="E242" s="197"/>
      <c r="F242" s="327"/>
      <c r="G242" s="197"/>
      <c r="H242" s="296"/>
    </row>
    <row r="243" spans="1:9" s="260" customFormat="1" ht="12.75" customHeight="1" x14ac:dyDescent="0.2">
      <c r="A243" s="198">
        <f>A233+1</f>
        <v>25</v>
      </c>
      <c r="B243" s="199" t="s">
        <v>181</v>
      </c>
      <c r="C243" s="219" t="s">
        <v>192</v>
      </c>
      <c r="D243" s="277" t="str">
        <f>$D$5</f>
        <v>FTE September 2024</v>
      </c>
      <c r="E243" s="200">
        <f>'3941'!I$145</f>
        <v>184326.33</v>
      </c>
      <c r="F243" s="326"/>
      <c r="G243" s="200">
        <f>SUBTOTAL(109,E243:F252)</f>
        <v>184364.88999999998</v>
      </c>
      <c r="H243" s="296"/>
    </row>
    <row r="244" spans="1:9" s="260" customFormat="1" ht="12.75" customHeight="1" x14ac:dyDescent="0.2">
      <c r="A244" s="198"/>
      <c r="B244" s="199"/>
      <c r="C244" s="219"/>
      <c r="D244" s="313" t="s">
        <v>519</v>
      </c>
      <c r="E244" s="200"/>
      <c r="F244" s="326">
        <v>38.559999999997672</v>
      </c>
      <c r="G244" s="200"/>
      <c r="H244" s="296"/>
    </row>
    <row r="245" spans="1:9" s="260" customFormat="1" ht="12.75" hidden="1" customHeight="1" x14ac:dyDescent="0.2">
      <c r="A245" s="198"/>
      <c r="B245" s="199"/>
      <c r="C245" s="219"/>
      <c r="D245" s="372" t="s">
        <v>473</v>
      </c>
      <c r="E245" s="200"/>
      <c r="F245" s="326"/>
      <c r="G245" s="200"/>
      <c r="H245" s="296"/>
      <c r="I245" s="195"/>
    </row>
    <row r="246" spans="1:9" s="260" customFormat="1" ht="12.75" hidden="1" customHeight="1" x14ac:dyDescent="0.2">
      <c r="A246" s="198"/>
      <c r="B246" s="199"/>
      <c r="C246" s="219"/>
      <c r="D246" s="232" t="s">
        <v>281</v>
      </c>
      <c r="E246" s="200"/>
      <c r="F246" s="326"/>
      <c r="G246" s="200"/>
      <c r="H246" s="296"/>
      <c r="I246" s="195"/>
    </row>
    <row r="247" spans="1:9" s="260" customFormat="1" ht="12.75" hidden="1" customHeight="1" x14ac:dyDescent="0.2">
      <c r="A247" s="198"/>
      <c r="B247" s="199"/>
      <c r="C247" s="219"/>
      <c r="D247" s="232" t="s">
        <v>280</v>
      </c>
      <c r="E247" s="200"/>
      <c r="F247" s="326"/>
      <c r="G247" s="200"/>
      <c r="H247" s="296"/>
    </row>
    <row r="248" spans="1:9" s="260" customFormat="1" ht="12.75" hidden="1" customHeight="1" x14ac:dyDescent="0.2">
      <c r="A248" s="198"/>
      <c r="B248" s="199"/>
      <c r="C248" s="219"/>
      <c r="D248" s="232" t="s">
        <v>289</v>
      </c>
      <c r="E248" s="200"/>
      <c r="F248" s="326"/>
      <c r="G248" s="200"/>
      <c r="H248" s="296"/>
    </row>
    <row r="249" spans="1:9" s="260" customFormat="1" ht="12.75" hidden="1" customHeight="1" x14ac:dyDescent="0.2">
      <c r="A249" s="198"/>
      <c r="B249" s="199"/>
      <c r="C249" s="219"/>
      <c r="D249" s="232" t="s">
        <v>258</v>
      </c>
      <c r="E249" s="200"/>
      <c r="F249" s="326"/>
      <c r="G249" s="200"/>
      <c r="H249" s="296"/>
    </row>
    <row r="250" spans="1:9" s="260" customFormat="1" ht="12.75" hidden="1" customHeight="1" x14ac:dyDescent="0.2">
      <c r="A250" s="198"/>
      <c r="B250" s="199"/>
      <c r="C250" s="219"/>
      <c r="D250" s="232" t="s">
        <v>321</v>
      </c>
      <c r="E250" s="200"/>
      <c r="F250" s="326"/>
      <c r="G250" s="200"/>
      <c r="H250" s="296"/>
      <c r="I250" s="316"/>
    </row>
    <row r="251" spans="1:9" s="260" customFormat="1" ht="12.75" hidden="1" customHeight="1" x14ac:dyDescent="0.2">
      <c r="A251" s="198"/>
      <c r="B251" s="199"/>
      <c r="C251" s="219"/>
      <c r="D251" s="232" t="s">
        <v>340</v>
      </c>
      <c r="E251" s="200"/>
      <c r="F251" s="326"/>
      <c r="G251" s="200"/>
      <c r="H251" s="296"/>
      <c r="I251" s="321"/>
    </row>
    <row r="252" spans="1:9" s="260" customFormat="1" ht="12.75" hidden="1" customHeight="1" x14ac:dyDescent="0.2">
      <c r="A252" s="198"/>
      <c r="B252" s="199"/>
      <c r="C252" s="219"/>
      <c r="D252" s="232"/>
      <c r="E252" s="200"/>
      <c r="F252" s="326"/>
      <c r="G252" s="200"/>
      <c r="H252" s="296"/>
      <c r="I252" s="316"/>
    </row>
    <row r="253" spans="1:9" s="260" customFormat="1" ht="12.75" customHeight="1" x14ac:dyDescent="0.2">
      <c r="A253" s="194">
        <f>A243+1</f>
        <v>26</v>
      </c>
      <c r="B253" s="195" t="s">
        <v>182</v>
      </c>
      <c r="C253" s="218" t="s">
        <v>202</v>
      </c>
      <c r="D253" s="493" t="str">
        <f>$D$5</f>
        <v>FTE September 2024</v>
      </c>
      <c r="E253" s="197">
        <f>'3961'!I$145</f>
        <v>222052.75</v>
      </c>
      <c r="F253" s="327"/>
      <c r="G253" s="197">
        <f>SUBTOTAL(109,E253:F260)</f>
        <v>222089.83000000002</v>
      </c>
      <c r="H253" s="296"/>
    </row>
    <row r="254" spans="1:9" s="260" customFormat="1" ht="12.75" customHeight="1" x14ac:dyDescent="0.2">
      <c r="A254" s="194"/>
      <c r="B254" s="195"/>
      <c r="C254" s="218"/>
      <c r="D254" s="548" t="s">
        <v>519</v>
      </c>
      <c r="E254" s="197"/>
      <c r="F254" s="327">
        <v>37.080000000016298</v>
      </c>
      <c r="G254" s="197"/>
      <c r="H254" s="296"/>
    </row>
    <row r="255" spans="1:9" s="260" customFormat="1" ht="12.75" hidden="1" customHeight="1" x14ac:dyDescent="0.2">
      <c r="A255" s="194"/>
      <c r="B255" s="195"/>
      <c r="C255" s="218"/>
      <c r="D255" s="340" t="s">
        <v>473</v>
      </c>
      <c r="E255" s="197"/>
      <c r="F255" s="327"/>
      <c r="G255" s="197"/>
      <c r="H255" s="296"/>
      <c r="I255" s="195"/>
    </row>
    <row r="256" spans="1:9" s="260" customFormat="1" ht="12.75" hidden="1" customHeight="1" x14ac:dyDescent="0.2">
      <c r="A256" s="194"/>
      <c r="B256" s="195"/>
      <c r="C256" s="218"/>
      <c r="D256" s="231" t="s">
        <v>281</v>
      </c>
      <c r="E256" s="197"/>
      <c r="F256" s="327"/>
      <c r="G256" s="197"/>
      <c r="H256" s="296"/>
    </row>
    <row r="257" spans="1:9" s="260" customFormat="1" ht="12.75" hidden="1" customHeight="1" x14ac:dyDescent="0.2">
      <c r="A257" s="194"/>
      <c r="B257" s="195"/>
      <c r="C257" s="218"/>
      <c r="D257" s="231" t="s">
        <v>280</v>
      </c>
      <c r="E257" s="197"/>
      <c r="F257" s="327"/>
      <c r="G257" s="197"/>
      <c r="H257" s="296"/>
    </row>
    <row r="258" spans="1:9" s="260" customFormat="1" ht="12.75" hidden="1" customHeight="1" x14ac:dyDescent="0.2">
      <c r="A258" s="194"/>
      <c r="B258" s="195"/>
      <c r="C258" s="218"/>
      <c r="D258" s="231" t="s">
        <v>289</v>
      </c>
      <c r="E258" s="197"/>
      <c r="F258" s="327"/>
      <c r="G258" s="197"/>
      <c r="H258" s="296"/>
    </row>
    <row r="259" spans="1:9" s="260" customFormat="1" ht="12.75" hidden="1" customHeight="1" x14ac:dyDescent="0.2">
      <c r="A259" s="194"/>
      <c r="B259" s="195"/>
      <c r="C259" s="218"/>
      <c r="D259" s="231" t="s">
        <v>258</v>
      </c>
      <c r="E259" s="197"/>
      <c r="F259" s="327"/>
      <c r="G259" s="197"/>
      <c r="H259" s="259"/>
      <c r="I259" s="316"/>
    </row>
    <row r="260" spans="1:9" s="260" customFormat="1" ht="12.75" hidden="1" customHeight="1" x14ac:dyDescent="0.2">
      <c r="A260" s="194"/>
      <c r="B260" s="195"/>
      <c r="C260" s="230"/>
      <c r="D260" s="276" t="s">
        <v>341</v>
      </c>
      <c r="E260" s="197"/>
      <c r="F260" s="327"/>
      <c r="G260" s="197"/>
      <c r="H260" s="259"/>
      <c r="I260" s="316"/>
    </row>
    <row r="261" spans="1:9" s="260" customFormat="1" ht="12.75" customHeight="1" x14ac:dyDescent="0.2">
      <c r="A261" s="198">
        <f>A253+1</f>
        <v>27</v>
      </c>
      <c r="B261" s="199" t="s">
        <v>183</v>
      </c>
      <c r="C261" s="219" t="s">
        <v>322</v>
      </c>
      <c r="D261" s="277" t="str">
        <f>$D$5</f>
        <v>FTE September 2024</v>
      </c>
      <c r="E261" s="200">
        <f>'3971'!I$145</f>
        <v>460031.21</v>
      </c>
      <c r="F261" s="326"/>
      <c r="G261" s="200">
        <f>SUBTOTAL(109,E261:F268)</f>
        <v>460119.10000000003</v>
      </c>
      <c r="H261" s="259"/>
      <c r="I261" s="316"/>
    </row>
    <row r="262" spans="1:9" s="260" customFormat="1" ht="12.75" customHeight="1" x14ac:dyDescent="0.2">
      <c r="A262" s="198"/>
      <c r="B262" s="199"/>
      <c r="C262" s="219"/>
      <c r="D262" s="313" t="s">
        <v>519</v>
      </c>
      <c r="E262" s="200"/>
      <c r="F262" s="326">
        <v>87.89000000001397</v>
      </c>
      <c r="G262" s="200"/>
      <c r="H262" s="296"/>
    </row>
    <row r="263" spans="1:9" s="260" customFormat="1" ht="12.75" hidden="1" customHeight="1" x14ac:dyDescent="0.2">
      <c r="A263" s="198"/>
      <c r="B263" s="199"/>
      <c r="C263" s="219"/>
      <c r="D263" s="372" t="s">
        <v>473</v>
      </c>
      <c r="E263" s="200"/>
      <c r="F263" s="326"/>
      <c r="G263" s="200"/>
      <c r="H263" s="296"/>
    </row>
    <row r="264" spans="1:9" s="260" customFormat="1" ht="12.75" hidden="1" customHeight="1" x14ac:dyDescent="0.2">
      <c r="A264" s="198"/>
      <c r="B264" s="199"/>
      <c r="C264" s="219"/>
      <c r="D264" s="232" t="s">
        <v>281</v>
      </c>
      <c r="E264" s="200"/>
      <c r="F264" s="326"/>
      <c r="G264" s="200"/>
      <c r="H264" s="296"/>
    </row>
    <row r="265" spans="1:9" s="260" customFormat="1" ht="12.75" hidden="1" customHeight="1" x14ac:dyDescent="0.2">
      <c r="A265" s="198"/>
      <c r="B265" s="199"/>
      <c r="C265" s="219"/>
      <c r="D265" s="232" t="s">
        <v>280</v>
      </c>
      <c r="E265" s="200"/>
      <c r="F265" s="326"/>
      <c r="G265" s="200"/>
      <c r="H265" s="296"/>
      <c r="I265" s="195"/>
    </row>
    <row r="266" spans="1:9" s="260" customFormat="1" ht="12.75" hidden="1" customHeight="1" x14ac:dyDescent="0.2">
      <c r="A266" s="198"/>
      <c r="B266" s="199"/>
      <c r="C266" s="219"/>
      <c r="D266" s="232" t="s">
        <v>289</v>
      </c>
      <c r="E266" s="200"/>
      <c r="F266" s="326"/>
      <c r="G266" s="200"/>
      <c r="H266" s="296"/>
    </row>
    <row r="267" spans="1:9" s="260" customFormat="1" ht="12.75" hidden="1" customHeight="1" x14ac:dyDescent="0.2">
      <c r="A267" s="198"/>
      <c r="B267" s="199"/>
      <c r="C267" s="219"/>
      <c r="D267" s="232" t="s">
        <v>258</v>
      </c>
      <c r="E267" s="200"/>
      <c r="F267" s="326"/>
      <c r="G267" s="200"/>
      <c r="H267" s="296"/>
    </row>
    <row r="268" spans="1:9" s="260" customFormat="1" ht="12.75" hidden="1" customHeight="1" x14ac:dyDescent="0.2">
      <c r="A268" s="198"/>
      <c r="B268" s="199"/>
      <c r="C268" s="219"/>
      <c r="D268" s="278" t="s">
        <v>347</v>
      </c>
      <c r="E268" s="200"/>
      <c r="F268" s="326"/>
      <c r="G268" s="200"/>
      <c r="H268" s="296"/>
      <c r="I268" s="188"/>
    </row>
    <row r="269" spans="1:9" s="260" customFormat="1" ht="12.75" customHeight="1" x14ac:dyDescent="0.2">
      <c r="A269" s="194">
        <f>A261+1</f>
        <v>28</v>
      </c>
      <c r="B269" s="195" t="s">
        <v>184</v>
      </c>
      <c r="C269" s="218" t="s">
        <v>220</v>
      </c>
      <c r="D269" s="493" t="str">
        <f>$D$5</f>
        <v>FTE September 2024</v>
      </c>
      <c r="E269" s="364">
        <f>'4001'!I$145</f>
        <v>503529.61</v>
      </c>
      <c r="F269" s="327"/>
      <c r="G269" s="197">
        <f>SUBTOTAL(109,E269:F277)</f>
        <v>503623.38000000006</v>
      </c>
      <c r="H269" s="296"/>
      <c r="I269" s="316"/>
    </row>
    <row r="270" spans="1:9" ht="12.75" customHeight="1" x14ac:dyDescent="0.2">
      <c r="A270" s="194"/>
      <c r="B270" s="195"/>
      <c r="C270" s="218"/>
      <c r="D270" s="548" t="s">
        <v>519</v>
      </c>
      <c r="E270" s="197"/>
      <c r="F270" s="327">
        <v>93.770000000076834</v>
      </c>
      <c r="G270" s="197"/>
      <c r="H270" s="297"/>
      <c r="I270" s="260"/>
    </row>
    <row r="271" spans="1:9" s="260" customFormat="1" ht="12.75" hidden="1" customHeight="1" x14ac:dyDescent="0.2">
      <c r="A271" s="194"/>
      <c r="B271" s="195"/>
      <c r="C271" s="218"/>
      <c r="D271" s="340" t="s">
        <v>473</v>
      </c>
      <c r="E271" s="197"/>
      <c r="F271" s="327"/>
      <c r="G271" s="197"/>
      <c r="H271" s="296"/>
    </row>
    <row r="272" spans="1:9" s="260" customFormat="1" ht="12.75" hidden="1" customHeight="1" x14ac:dyDescent="0.2">
      <c r="A272" s="194"/>
      <c r="B272" s="195"/>
      <c r="C272" s="218"/>
      <c r="D272" s="231" t="s">
        <v>281</v>
      </c>
      <c r="E272" s="197"/>
      <c r="F272" s="327"/>
      <c r="G272" s="197"/>
      <c r="H272" s="296"/>
    </row>
    <row r="273" spans="1:9" s="260" customFormat="1" ht="12.75" hidden="1" customHeight="1" x14ac:dyDescent="0.2">
      <c r="A273" s="194"/>
      <c r="B273" s="195"/>
      <c r="C273" s="218"/>
      <c r="D273" s="231" t="s">
        <v>280</v>
      </c>
      <c r="E273" s="197"/>
      <c r="F273" s="327"/>
      <c r="G273" s="197"/>
      <c r="H273" s="296"/>
      <c r="I273" s="195"/>
    </row>
    <row r="274" spans="1:9" s="260" customFormat="1" ht="12.75" hidden="1" customHeight="1" x14ac:dyDescent="0.2">
      <c r="A274" s="194"/>
      <c r="B274" s="195"/>
      <c r="C274" s="218"/>
      <c r="D274" s="231" t="s">
        <v>289</v>
      </c>
      <c r="E274" s="197"/>
      <c r="F274" s="327"/>
      <c r="G274" s="197"/>
      <c r="H274" s="296"/>
    </row>
    <row r="275" spans="1:9" s="260" customFormat="1" ht="12.75" hidden="1" customHeight="1" x14ac:dyDescent="0.2">
      <c r="A275" s="194"/>
      <c r="B275" s="195"/>
      <c r="C275" s="218"/>
      <c r="D275" s="231" t="s">
        <v>258</v>
      </c>
      <c r="E275" s="197"/>
      <c r="F275" s="327"/>
      <c r="G275" s="197"/>
      <c r="H275" s="296"/>
    </row>
    <row r="276" spans="1:9" s="260" customFormat="1" ht="12.75" hidden="1" customHeight="1" x14ac:dyDescent="0.2">
      <c r="A276" s="194"/>
      <c r="B276" s="195"/>
      <c r="C276" s="218"/>
      <c r="D276" s="231" t="s">
        <v>340</v>
      </c>
      <c r="E276" s="197"/>
      <c r="F276" s="327"/>
      <c r="G276" s="197"/>
      <c r="H276" s="296"/>
    </row>
    <row r="277" spans="1:9" s="260" customFormat="1" ht="12.75" hidden="1" customHeight="1" x14ac:dyDescent="0.2">
      <c r="A277" s="194"/>
      <c r="B277" s="195"/>
      <c r="C277" s="218"/>
      <c r="D277" s="276" t="s">
        <v>327</v>
      </c>
      <c r="E277" s="197"/>
      <c r="F277" s="327"/>
      <c r="G277" s="197"/>
      <c r="H277" s="259"/>
      <c r="I277" s="316"/>
    </row>
    <row r="278" spans="1:9" s="260" customFormat="1" ht="12.75" customHeight="1" x14ac:dyDescent="0.2">
      <c r="A278" s="198">
        <f>A269+1</f>
        <v>29</v>
      </c>
      <c r="B278" s="199">
        <v>4002</v>
      </c>
      <c r="C278" s="219" t="s">
        <v>219</v>
      </c>
      <c r="D278" s="277" t="str">
        <f>$D$5</f>
        <v>FTE September 2024</v>
      </c>
      <c r="E278" s="200">
        <f>'4002'!I$145</f>
        <v>780680.65</v>
      </c>
      <c r="F278" s="326"/>
      <c r="G278" s="200">
        <f>SUBTOTAL(109,E278:F287)</f>
        <v>780776.35000000009</v>
      </c>
      <c r="H278" s="296"/>
    </row>
    <row r="279" spans="1:9" s="260" customFormat="1" ht="12.75" customHeight="1" x14ac:dyDescent="0.2">
      <c r="A279" s="198"/>
      <c r="B279" s="199"/>
      <c r="C279" s="219"/>
      <c r="D279" s="313" t="s">
        <v>519</v>
      </c>
      <c r="E279" s="200"/>
      <c r="F279" s="326">
        <v>95.700000000069849</v>
      </c>
      <c r="G279" s="200"/>
      <c r="H279" s="296"/>
    </row>
    <row r="280" spans="1:9" s="260" customFormat="1" ht="12.75" hidden="1" customHeight="1" x14ac:dyDescent="0.2">
      <c r="A280" s="198"/>
      <c r="B280" s="199"/>
      <c r="C280" s="219"/>
      <c r="D280" s="372" t="s">
        <v>473</v>
      </c>
      <c r="E280" s="200"/>
      <c r="F280" s="326"/>
      <c r="G280" s="200"/>
      <c r="H280" s="296"/>
    </row>
    <row r="281" spans="1:9" s="260" customFormat="1" ht="12.75" hidden="1" customHeight="1" x14ac:dyDescent="0.2">
      <c r="A281" s="198"/>
      <c r="B281" s="199"/>
      <c r="C281" s="219"/>
      <c r="D281" s="232" t="s">
        <v>281</v>
      </c>
      <c r="E281" s="200"/>
      <c r="F281" s="326"/>
      <c r="G281" s="200"/>
      <c r="H281" s="296"/>
      <c r="I281" s="195"/>
    </row>
    <row r="282" spans="1:9" s="260" customFormat="1" ht="12.75" hidden="1" customHeight="1" x14ac:dyDescent="0.2">
      <c r="A282" s="198"/>
      <c r="B282" s="199"/>
      <c r="C282" s="219"/>
      <c r="D282" s="232" t="s">
        <v>280</v>
      </c>
      <c r="E282" s="200"/>
      <c r="F282" s="326"/>
      <c r="G282" s="200"/>
      <c r="H282" s="296"/>
    </row>
    <row r="283" spans="1:9" s="260" customFormat="1" ht="12.75" hidden="1" customHeight="1" x14ac:dyDescent="0.2">
      <c r="A283" s="198"/>
      <c r="B283" s="199"/>
      <c r="C283" s="219"/>
      <c r="D283" s="232" t="s">
        <v>289</v>
      </c>
      <c r="E283" s="200"/>
      <c r="F283" s="326"/>
      <c r="G283" s="200"/>
      <c r="H283" s="296"/>
    </row>
    <row r="284" spans="1:9" s="260" customFormat="1" ht="12.75" hidden="1" customHeight="1" x14ac:dyDescent="0.2">
      <c r="A284" s="198"/>
      <c r="B284" s="199"/>
      <c r="C284" s="219"/>
      <c r="D284" s="232" t="s">
        <v>258</v>
      </c>
      <c r="E284" s="200"/>
      <c r="F284" s="326"/>
      <c r="G284" s="200"/>
      <c r="H284" s="296"/>
    </row>
    <row r="285" spans="1:9" s="260" customFormat="1" ht="12.75" hidden="1" customHeight="1" x14ac:dyDescent="0.2">
      <c r="A285" s="198"/>
      <c r="B285" s="199"/>
      <c r="C285" s="219"/>
      <c r="D285" s="232" t="s">
        <v>339</v>
      </c>
      <c r="E285" s="200"/>
      <c r="F285" s="326"/>
      <c r="G285" s="200"/>
      <c r="H285" s="259"/>
      <c r="I285" s="316"/>
    </row>
    <row r="286" spans="1:9" s="260" customFormat="1" ht="12.75" hidden="1" customHeight="1" x14ac:dyDescent="0.2">
      <c r="A286" s="198"/>
      <c r="B286" s="199"/>
      <c r="C286" s="219"/>
      <c r="D286" s="232" t="s">
        <v>340</v>
      </c>
      <c r="E286" s="200"/>
      <c r="F286" s="326"/>
      <c r="G286" s="200"/>
      <c r="H286" s="296"/>
      <c r="I286" s="316"/>
    </row>
    <row r="287" spans="1:9" s="260" customFormat="1" ht="12.75" hidden="1" customHeight="1" x14ac:dyDescent="0.2">
      <c r="A287" s="198"/>
      <c r="B287" s="199"/>
      <c r="C287" s="219"/>
      <c r="D287" s="232" t="s">
        <v>337</v>
      </c>
      <c r="E287" s="200"/>
      <c r="F287" s="326"/>
      <c r="G287" s="200"/>
      <c r="H287" s="296"/>
    </row>
    <row r="288" spans="1:9" s="260" customFormat="1" ht="12.75" customHeight="1" x14ac:dyDescent="0.2">
      <c r="A288" s="194">
        <f>A278+1</f>
        <v>30</v>
      </c>
      <c r="B288" s="195">
        <v>4012</v>
      </c>
      <c r="C288" s="218" t="s">
        <v>222</v>
      </c>
      <c r="D288" s="493" t="str">
        <f>$D$5</f>
        <v>FTE September 2024</v>
      </c>
      <c r="E288" s="197">
        <f>'4012'!I$145</f>
        <v>443896.27</v>
      </c>
      <c r="F288" s="327"/>
      <c r="G288" s="197">
        <f>SUBTOTAL(109,E288:F295)</f>
        <v>443931.67</v>
      </c>
      <c r="H288" s="296"/>
    </row>
    <row r="289" spans="1:9" s="260" customFormat="1" ht="12.75" customHeight="1" x14ac:dyDescent="0.2">
      <c r="A289" s="194"/>
      <c r="B289" s="195"/>
      <c r="C289" s="218"/>
      <c r="D289" s="548" t="s">
        <v>519</v>
      </c>
      <c r="E289" s="197"/>
      <c r="F289" s="327">
        <v>35.399999999965075</v>
      </c>
      <c r="G289" s="197"/>
      <c r="H289" s="296"/>
    </row>
    <row r="290" spans="1:9" s="260" customFormat="1" ht="12.75" hidden="1" customHeight="1" x14ac:dyDescent="0.2">
      <c r="A290" s="194"/>
      <c r="B290" s="195"/>
      <c r="C290" s="218"/>
      <c r="D290" s="231" t="s">
        <v>473</v>
      </c>
      <c r="E290" s="197"/>
      <c r="F290" s="327"/>
      <c r="G290" s="197"/>
      <c r="H290" s="296"/>
      <c r="I290" s="195"/>
    </row>
    <row r="291" spans="1:9" s="260" customFormat="1" ht="12.75" hidden="1" customHeight="1" x14ac:dyDescent="0.2">
      <c r="A291" s="194"/>
      <c r="B291" s="195"/>
      <c r="C291" s="218"/>
      <c r="D291" s="231" t="s">
        <v>336</v>
      </c>
      <c r="E291" s="197"/>
      <c r="F291" s="327"/>
      <c r="G291" s="197"/>
      <c r="H291" s="296"/>
    </row>
    <row r="292" spans="1:9" s="260" customFormat="1" ht="12.75" hidden="1" customHeight="1" x14ac:dyDescent="0.2">
      <c r="A292" s="194"/>
      <c r="B292" s="195"/>
      <c r="C292" s="218"/>
      <c r="D292" s="231" t="s">
        <v>289</v>
      </c>
      <c r="E292" s="197"/>
      <c r="F292" s="327"/>
      <c r="G292" s="197"/>
      <c r="H292" s="296"/>
    </row>
    <row r="293" spans="1:9" s="260" customFormat="1" ht="12.75" hidden="1" customHeight="1" x14ac:dyDescent="0.2">
      <c r="A293" s="194"/>
      <c r="B293" s="195"/>
      <c r="C293" s="218"/>
      <c r="D293" s="231" t="s">
        <v>258</v>
      </c>
      <c r="E293" s="197"/>
      <c r="F293" s="327"/>
      <c r="G293" s="197"/>
      <c r="H293" s="296"/>
    </row>
    <row r="294" spans="1:9" s="260" customFormat="1" ht="12.75" hidden="1" customHeight="1" x14ac:dyDescent="0.2">
      <c r="A294" s="194"/>
      <c r="B294" s="195"/>
      <c r="C294" s="218"/>
      <c r="D294" s="231" t="s">
        <v>296</v>
      </c>
      <c r="E294" s="197"/>
      <c r="F294" s="327"/>
      <c r="G294" s="197"/>
      <c r="H294" s="296"/>
    </row>
    <row r="295" spans="1:9" s="260" customFormat="1" ht="12.75" hidden="1" customHeight="1" x14ac:dyDescent="0.2">
      <c r="A295" s="194"/>
      <c r="B295" s="195"/>
      <c r="C295" s="218"/>
      <c r="D295" s="276" t="s">
        <v>327</v>
      </c>
      <c r="E295" s="197"/>
      <c r="F295" s="327"/>
      <c r="G295" s="197"/>
      <c r="H295" s="296"/>
      <c r="I295" s="318"/>
    </row>
    <row r="296" spans="1:9" s="260" customFormat="1" ht="12.75" customHeight="1" x14ac:dyDescent="0.2">
      <c r="A296" s="198">
        <f>A288+1</f>
        <v>31</v>
      </c>
      <c r="B296" s="199">
        <v>4013</v>
      </c>
      <c r="C296" s="219" t="s">
        <v>224</v>
      </c>
      <c r="D296" s="277" t="str">
        <f>$D$5</f>
        <v>FTE September 2024</v>
      </c>
      <c r="E296" s="200">
        <f>'4013'!I$145</f>
        <v>657037.06999999995</v>
      </c>
      <c r="F296" s="326"/>
      <c r="G296" s="200">
        <f>SUBTOTAL(109,E296:F304)</f>
        <v>657071.86</v>
      </c>
      <c r="H296" s="296"/>
      <c r="I296" s="318"/>
    </row>
    <row r="297" spans="1:9" s="260" customFormat="1" ht="12.75" customHeight="1" x14ac:dyDescent="0.2">
      <c r="A297" s="198"/>
      <c r="B297" s="199"/>
      <c r="C297" s="219"/>
      <c r="D297" s="313" t="s">
        <v>519</v>
      </c>
      <c r="E297" s="200"/>
      <c r="F297" s="326">
        <v>34.790000000037253</v>
      </c>
      <c r="G297" s="200"/>
      <c r="H297" s="296"/>
    </row>
    <row r="298" spans="1:9" s="260" customFormat="1" ht="12.75" hidden="1" customHeight="1" x14ac:dyDescent="0.2">
      <c r="A298" s="198"/>
      <c r="B298" s="199"/>
      <c r="C298" s="219"/>
      <c r="D298" s="372" t="s">
        <v>473</v>
      </c>
      <c r="E298" s="200"/>
      <c r="F298" s="326"/>
      <c r="G298" s="200"/>
      <c r="H298" s="296"/>
    </row>
    <row r="299" spans="1:9" s="260" customFormat="1" ht="12.75" hidden="1" customHeight="1" x14ac:dyDescent="0.2">
      <c r="A299" s="198"/>
      <c r="B299" s="199"/>
      <c r="C299" s="219"/>
      <c r="D299" s="232" t="s">
        <v>281</v>
      </c>
      <c r="E299" s="200"/>
      <c r="F299" s="326"/>
      <c r="G299" s="200"/>
      <c r="H299" s="296"/>
    </row>
    <row r="300" spans="1:9" s="260" customFormat="1" ht="12.75" hidden="1" customHeight="1" x14ac:dyDescent="0.2">
      <c r="A300" s="198"/>
      <c r="B300" s="199"/>
      <c r="C300" s="219"/>
      <c r="D300" s="232" t="s">
        <v>336</v>
      </c>
      <c r="E300" s="200"/>
      <c r="F300" s="326"/>
      <c r="G300" s="200"/>
      <c r="H300" s="296"/>
    </row>
    <row r="301" spans="1:9" s="260" customFormat="1" ht="12.75" hidden="1" customHeight="1" x14ac:dyDescent="0.2">
      <c r="A301" s="198"/>
      <c r="B301" s="199"/>
      <c r="C301" s="219"/>
      <c r="D301" s="232" t="s">
        <v>289</v>
      </c>
      <c r="E301" s="200"/>
      <c r="F301" s="326"/>
      <c r="G301" s="200"/>
      <c r="H301" s="296"/>
    </row>
    <row r="302" spans="1:9" s="260" customFormat="1" ht="12.75" hidden="1" customHeight="1" x14ac:dyDescent="0.2">
      <c r="A302" s="198"/>
      <c r="B302" s="199"/>
      <c r="C302" s="219"/>
      <c r="D302" s="232" t="s">
        <v>258</v>
      </c>
      <c r="E302" s="200"/>
      <c r="F302" s="326"/>
      <c r="G302" s="200"/>
      <c r="H302" s="296"/>
    </row>
    <row r="303" spans="1:9" s="260" customFormat="1" ht="12.75" hidden="1" customHeight="1" x14ac:dyDescent="0.2">
      <c r="A303" s="198"/>
      <c r="B303" s="199"/>
      <c r="C303" s="219"/>
      <c r="D303" s="232" t="s">
        <v>340</v>
      </c>
      <c r="E303" s="200"/>
      <c r="F303" s="326"/>
      <c r="G303" s="200"/>
      <c r="H303" s="259"/>
      <c r="I303" s="316"/>
    </row>
    <row r="304" spans="1:9" s="260" customFormat="1" ht="12.75" hidden="1" customHeight="1" x14ac:dyDescent="0.2">
      <c r="A304" s="198"/>
      <c r="B304" s="199"/>
      <c r="C304" s="219"/>
      <c r="D304" s="232" t="s">
        <v>327</v>
      </c>
      <c r="E304" s="200"/>
      <c r="F304" s="326"/>
      <c r="G304" s="200"/>
      <c r="H304" s="296"/>
      <c r="I304" s="306"/>
    </row>
    <row r="305" spans="1:9" s="260" customFormat="1" ht="12.75" customHeight="1" x14ac:dyDescent="0.2">
      <c r="A305" s="194">
        <f>A296+1</f>
        <v>32</v>
      </c>
      <c r="B305" s="195">
        <v>4020</v>
      </c>
      <c r="C305" s="261" t="s">
        <v>329</v>
      </c>
      <c r="D305" s="493" t="str">
        <f>$D$5</f>
        <v>FTE September 2024</v>
      </c>
      <c r="E305" s="197">
        <f>'4020'!I$145</f>
        <v>852147.55</v>
      </c>
      <c r="F305" s="327"/>
      <c r="G305" s="197">
        <f>SUBTOTAL(109,E305:F313)</f>
        <v>852240.91000000015</v>
      </c>
      <c r="H305" s="296"/>
      <c r="I305" s="306"/>
    </row>
    <row r="306" spans="1:9" s="260" customFormat="1" ht="12.75" customHeight="1" x14ac:dyDescent="0.2">
      <c r="A306" s="194"/>
      <c r="B306" s="195"/>
      <c r="C306" s="218"/>
      <c r="D306" s="548" t="s">
        <v>519</v>
      </c>
      <c r="E306" s="197"/>
      <c r="F306" s="327">
        <v>93.360000000102445</v>
      </c>
      <c r="G306" s="197"/>
      <c r="H306" s="296"/>
    </row>
    <row r="307" spans="1:9" s="260" customFormat="1" ht="12.75" hidden="1" customHeight="1" x14ac:dyDescent="0.2">
      <c r="A307" s="194"/>
      <c r="B307" s="195"/>
      <c r="C307" s="218"/>
      <c r="D307" s="340" t="s">
        <v>473</v>
      </c>
      <c r="E307" s="197"/>
      <c r="F307" s="327"/>
      <c r="G307" s="197"/>
      <c r="H307" s="296"/>
    </row>
    <row r="308" spans="1:9" s="260" customFormat="1" ht="12.75" hidden="1" customHeight="1" x14ac:dyDescent="0.2">
      <c r="A308" s="194"/>
      <c r="B308" s="195"/>
      <c r="C308" s="218"/>
      <c r="D308" s="231" t="s">
        <v>281</v>
      </c>
      <c r="E308" s="197"/>
      <c r="F308" s="327"/>
      <c r="G308" s="197"/>
      <c r="H308" s="296"/>
      <c r="I308" s="195"/>
    </row>
    <row r="309" spans="1:9" s="260" customFormat="1" ht="12.75" hidden="1" customHeight="1" x14ac:dyDescent="0.2">
      <c r="A309" s="194"/>
      <c r="B309" s="195"/>
      <c r="C309" s="218"/>
      <c r="D309" s="231" t="s">
        <v>336</v>
      </c>
      <c r="E309" s="197"/>
      <c r="F309" s="327"/>
      <c r="G309" s="197"/>
      <c r="H309" s="296"/>
    </row>
    <row r="310" spans="1:9" s="260" customFormat="1" ht="12.75" hidden="1" customHeight="1" x14ac:dyDescent="0.2">
      <c r="A310" s="194"/>
      <c r="B310" s="195"/>
      <c r="C310" s="218"/>
      <c r="D310" s="231" t="s">
        <v>289</v>
      </c>
      <c r="E310" s="197"/>
      <c r="F310" s="327"/>
      <c r="G310" s="197"/>
      <c r="H310" s="296"/>
    </row>
    <row r="311" spans="1:9" s="260" customFormat="1" ht="12.75" hidden="1" customHeight="1" x14ac:dyDescent="0.2">
      <c r="A311" s="194"/>
      <c r="B311" s="195"/>
      <c r="C311" s="218"/>
      <c r="D311" s="231" t="s">
        <v>258</v>
      </c>
      <c r="E311" s="197"/>
      <c r="F311" s="327"/>
      <c r="G311" s="197"/>
      <c r="H311" s="296"/>
    </row>
    <row r="312" spans="1:9" s="260" customFormat="1" ht="12.75" hidden="1" customHeight="1" x14ac:dyDescent="0.2">
      <c r="A312" s="194"/>
      <c r="B312" s="195"/>
      <c r="C312" s="218"/>
      <c r="D312" s="231" t="s">
        <v>339</v>
      </c>
      <c r="E312" s="197"/>
      <c r="F312" s="327"/>
      <c r="G312" s="197"/>
      <c r="H312" s="296"/>
    </row>
    <row r="313" spans="1:9" s="260" customFormat="1" ht="12.75" hidden="1" customHeight="1" x14ac:dyDescent="0.2">
      <c r="A313" s="194"/>
      <c r="B313" s="195"/>
      <c r="C313" s="218"/>
      <c r="D313" s="276" t="s">
        <v>327</v>
      </c>
      <c r="E313" s="197"/>
      <c r="F313" s="327"/>
      <c r="G313" s="197"/>
      <c r="H313" s="296"/>
      <c r="I313" s="318"/>
    </row>
    <row r="314" spans="1:9" s="260" customFormat="1" ht="12.75" customHeight="1" x14ac:dyDescent="0.2">
      <c r="A314" s="198">
        <f>A305+1</f>
        <v>33</v>
      </c>
      <c r="B314" s="199">
        <v>4030</v>
      </c>
      <c r="C314" s="219" t="s">
        <v>317</v>
      </c>
      <c r="D314" s="277" t="str">
        <f>$D$5</f>
        <v>FTE September 2024</v>
      </c>
      <c r="E314" s="200">
        <f>'4030'!I$145</f>
        <v>228790.53</v>
      </c>
      <c r="F314" s="326"/>
      <c r="G314" s="200">
        <f>SUBTOTAL(109,E314:F323)</f>
        <v>228890.74</v>
      </c>
      <c r="H314" s="296"/>
    </row>
    <row r="315" spans="1:9" s="260" customFormat="1" ht="12.75" customHeight="1" x14ac:dyDescent="0.2">
      <c r="A315" s="198"/>
      <c r="B315" s="199"/>
      <c r="C315" s="219"/>
      <c r="D315" s="313" t="s">
        <v>519</v>
      </c>
      <c r="E315" s="200"/>
      <c r="F315" s="326">
        <v>100.20999999999185</v>
      </c>
      <c r="G315" s="200"/>
      <c r="H315" s="296"/>
    </row>
    <row r="316" spans="1:9" s="260" customFormat="1" ht="12.75" hidden="1" customHeight="1" x14ac:dyDescent="0.2">
      <c r="A316" s="198"/>
      <c r="B316" s="199"/>
      <c r="C316" s="219"/>
      <c r="D316" s="372" t="s">
        <v>473</v>
      </c>
      <c r="E316" s="200"/>
      <c r="F316" s="326"/>
      <c r="G316" s="200"/>
      <c r="H316" s="296"/>
    </row>
    <row r="317" spans="1:9" s="260" customFormat="1" ht="12.75" hidden="1" customHeight="1" x14ac:dyDescent="0.2">
      <c r="A317" s="198"/>
      <c r="B317" s="199"/>
      <c r="C317" s="219"/>
      <c r="D317" s="372" t="s">
        <v>343</v>
      </c>
      <c r="E317" s="200"/>
      <c r="F317" s="326"/>
      <c r="G317" s="200"/>
      <c r="H317" s="296"/>
      <c r="I317" s="195"/>
    </row>
    <row r="318" spans="1:9" s="260" customFormat="1" ht="12.75" hidden="1" customHeight="1" x14ac:dyDescent="0.2">
      <c r="A318" s="198"/>
      <c r="B318" s="199"/>
      <c r="C318" s="219"/>
      <c r="D318" s="232" t="s">
        <v>281</v>
      </c>
      <c r="E318" s="200"/>
      <c r="F318" s="326"/>
      <c r="G318" s="200"/>
      <c r="H318" s="296"/>
    </row>
    <row r="319" spans="1:9" s="260" customFormat="1" ht="12.75" hidden="1" customHeight="1" x14ac:dyDescent="0.2">
      <c r="A319" s="198"/>
      <c r="B319" s="199"/>
      <c r="C319" s="219"/>
      <c r="D319" s="232" t="s">
        <v>280</v>
      </c>
      <c r="E319" s="200"/>
      <c r="F319" s="326"/>
      <c r="G319" s="200"/>
      <c r="H319" s="296"/>
    </row>
    <row r="320" spans="1:9" s="260" customFormat="1" ht="12.75" hidden="1" customHeight="1" x14ac:dyDescent="0.2">
      <c r="A320" s="198"/>
      <c r="B320" s="199"/>
      <c r="C320" s="219"/>
      <c r="D320" s="232" t="s">
        <v>289</v>
      </c>
      <c r="E320" s="200"/>
      <c r="F320" s="326"/>
      <c r="G320" s="200"/>
      <c r="H320" s="296"/>
    </row>
    <row r="321" spans="1:9" s="260" customFormat="1" ht="12.75" hidden="1" customHeight="1" x14ac:dyDescent="0.2">
      <c r="A321" s="198"/>
      <c r="B321" s="199"/>
      <c r="C321" s="219"/>
      <c r="D321" s="232" t="s">
        <v>258</v>
      </c>
      <c r="E321" s="200"/>
      <c r="F321" s="326"/>
      <c r="G321" s="200"/>
      <c r="H321" s="259"/>
      <c r="I321" s="316"/>
    </row>
    <row r="322" spans="1:9" s="260" customFormat="1" ht="12.75" hidden="1" customHeight="1" x14ac:dyDescent="0.2">
      <c r="A322" s="198"/>
      <c r="B322" s="199"/>
      <c r="C322" s="219"/>
      <c r="D322" s="232" t="s">
        <v>340</v>
      </c>
      <c r="E322" s="200"/>
      <c r="F322" s="326"/>
      <c r="G322" s="200"/>
      <c r="H322" s="296"/>
      <c r="I322" s="318"/>
    </row>
    <row r="323" spans="1:9" s="260" customFormat="1" ht="12.75" hidden="1" customHeight="1" x14ac:dyDescent="0.2">
      <c r="A323" s="198"/>
      <c r="B323" s="199"/>
      <c r="C323" s="219"/>
      <c r="D323" s="232" t="s">
        <v>327</v>
      </c>
      <c r="E323" s="200"/>
      <c r="F323" s="326"/>
      <c r="G323" s="200"/>
      <c r="H323" s="296"/>
    </row>
    <row r="324" spans="1:9" s="260" customFormat="1" ht="12.75" customHeight="1" x14ac:dyDescent="0.2">
      <c r="A324" s="194">
        <f>A314+1</f>
        <v>34</v>
      </c>
      <c r="B324" s="195">
        <v>4031</v>
      </c>
      <c r="C324" s="261" t="s">
        <v>334</v>
      </c>
      <c r="D324" s="493" t="str">
        <f>$D$5</f>
        <v>FTE September 2024</v>
      </c>
      <c r="E324" s="197">
        <f>'4031'!I$145</f>
        <v>377131.17</v>
      </c>
      <c r="F324" s="327"/>
      <c r="G324" s="197">
        <f>SUBTOTAL(109,E324:F333)</f>
        <v>377225.89999999997</v>
      </c>
      <c r="H324" s="296"/>
    </row>
    <row r="325" spans="1:9" s="260" customFormat="1" ht="12.75" customHeight="1" x14ac:dyDescent="0.2">
      <c r="A325" s="194"/>
      <c r="B325" s="195"/>
      <c r="C325" s="218"/>
      <c r="D325" s="548" t="s">
        <v>519</v>
      </c>
      <c r="E325" s="197"/>
      <c r="F325" s="327">
        <v>94.729999999981374</v>
      </c>
      <c r="G325" s="197"/>
      <c r="H325" s="296"/>
    </row>
    <row r="326" spans="1:9" s="260" customFormat="1" ht="12.75" hidden="1" customHeight="1" x14ac:dyDescent="0.2">
      <c r="A326" s="194"/>
      <c r="B326" s="195"/>
      <c r="C326" s="218"/>
      <c r="D326" s="340" t="s">
        <v>473</v>
      </c>
      <c r="E326" s="197"/>
      <c r="F326" s="327"/>
      <c r="G326" s="197"/>
      <c r="H326" s="296"/>
      <c r="I326" s="195"/>
    </row>
    <row r="327" spans="1:9" s="260" customFormat="1" ht="12.75" hidden="1" customHeight="1" x14ac:dyDescent="0.2">
      <c r="A327" s="194"/>
      <c r="B327" s="195"/>
      <c r="C327" s="218"/>
      <c r="D327" s="340" t="s">
        <v>343</v>
      </c>
      <c r="E327" s="197"/>
      <c r="F327" s="327"/>
      <c r="G327" s="197"/>
      <c r="H327" s="296"/>
      <c r="I327" s="195"/>
    </row>
    <row r="328" spans="1:9" s="260" customFormat="1" ht="12.75" hidden="1" customHeight="1" x14ac:dyDescent="0.2">
      <c r="A328" s="194"/>
      <c r="B328" s="195"/>
      <c r="C328" s="218"/>
      <c r="D328" s="231" t="s">
        <v>281</v>
      </c>
      <c r="E328" s="197"/>
      <c r="F328" s="327"/>
      <c r="G328" s="197"/>
      <c r="H328" s="296"/>
    </row>
    <row r="329" spans="1:9" s="260" customFormat="1" ht="12.75" hidden="1" customHeight="1" x14ac:dyDescent="0.2">
      <c r="A329" s="194"/>
      <c r="B329" s="195"/>
      <c r="C329" s="218"/>
      <c r="D329" s="231" t="s">
        <v>280</v>
      </c>
      <c r="E329" s="197"/>
      <c r="F329" s="327"/>
      <c r="G329" s="197"/>
      <c r="H329" s="296"/>
    </row>
    <row r="330" spans="1:9" s="260" customFormat="1" ht="12.75" hidden="1" customHeight="1" x14ac:dyDescent="0.2">
      <c r="A330" s="194"/>
      <c r="B330" s="195"/>
      <c r="C330" s="218"/>
      <c r="D330" s="231" t="s">
        <v>289</v>
      </c>
      <c r="E330" s="197"/>
      <c r="F330" s="327"/>
      <c r="G330" s="197"/>
      <c r="H330" s="296"/>
    </row>
    <row r="331" spans="1:9" s="260" customFormat="1" ht="12.75" hidden="1" customHeight="1" x14ac:dyDescent="0.2">
      <c r="A331" s="194"/>
      <c r="B331" s="195"/>
      <c r="C331" s="218"/>
      <c r="D331" s="231" t="s">
        <v>258</v>
      </c>
      <c r="E331" s="197"/>
      <c r="F331" s="327"/>
      <c r="G331" s="197"/>
      <c r="H331" s="296"/>
    </row>
    <row r="332" spans="1:9" s="260" customFormat="1" ht="12.75" hidden="1" customHeight="1" x14ac:dyDescent="0.2">
      <c r="A332" s="194"/>
      <c r="B332" s="195"/>
      <c r="C332" s="218"/>
      <c r="D332" s="231" t="s">
        <v>340</v>
      </c>
      <c r="E332" s="197"/>
      <c r="F332" s="327"/>
      <c r="G332" s="197"/>
      <c r="H332" s="296"/>
      <c r="I332" s="318"/>
    </row>
    <row r="333" spans="1:9" s="260" customFormat="1" ht="12.75" hidden="1" customHeight="1" x14ac:dyDescent="0.2">
      <c r="A333" s="194"/>
      <c r="B333" s="195"/>
      <c r="C333" s="218"/>
      <c r="D333" s="276" t="s">
        <v>327</v>
      </c>
      <c r="E333" s="197"/>
      <c r="F333" s="327"/>
      <c r="G333" s="197"/>
      <c r="H333" s="296"/>
    </row>
    <row r="334" spans="1:9" s="260" customFormat="1" ht="12.75" customHeight="1" x14ac:dyDescent="0.2">
      <c r="A334" s="198">
        <f>A324+1</f>
        <v>35</v>
      </c>
      <c r="B334" s="199">
        <v>4041</v>
      </c>
      <c r="C334" s="219" t="s">
        <v>226</v>
      </c>
      <c r="D334" s="277" t="str">
        <f>$D$5</f>
        <v>FTE September 2024</v>
      </c>
      <c r="E334" s="200">
        <f>'4041'!I$145</f>
        <v>61214.31</v>
      </c>
      <c r="F334" s="326"/>
      <c r="G334" s="200">
        <f>SUBTOTAL(109,E334:F344)</f>
        <v>61227.149999999994</v>
      </c>
      <c r="H334" s="296"/>
    </row>
    <row r="335" spans="1:9" s="260" customFormat="1" ht="12.75" customHeight="1" x14ac:dyDescent="0.2">
      <c r="A335" s="198"/>
      <c r="B335" s="199"/>
      <c r="C335" s="219"/>
      <c r="D335" s="313" t="s">
        <v>519</v>
      </c>
      <c r="E335" s="200"/>
      <c r="F335" s="326">
        <v>12.839999999996508</v>
      </c>
      <c r="G335" s="200"/>
      <c r="H335" s="296"/>
    </row>
    <row r="336" spans="1:9" s="260" customFormat="1" ht="12.75" hidden="1" customHeight="1" x14ac:dyDescent="0.2">
      <c r="A336" s="198"/>
      <c r="B336" s="199"/>
      <c r="C336" s="219"/>
      <c r="D336" s="372" t="s">
        <v>473</v>
      </c>
      <c r="E336" s="200"/>
      <c r="F336" s="326"/>
      <c r="G336" s="200"/>
      <c r="H336" s="296"/>
      <c r="I336" s="195"/>
    </row>
    <row r="337" spans="1:9" s="260" customFormat="1" ht="12.75" hidden="1" customHeight="1" x14ac:dyDescent="0.2">
      <c r="A337" s="198"/>
      <c r="B337" s="199"/>
      <c r="C337" s="219"/>
      <c r="D337" s="372" t="s">
        <v>343</v>
      </c>
      <c r="E337" s="200"/>
      <c r="F337" s="326"/>
      <c r="G337" s="200"/>
      <c r="H337" s="296"/>
      <c r="I337" s="195"/>
    </row>
    <row r="338" spans="1:9" s="260" customFormat="1" ht="12.75" hidden="1" customHeight="1" x14ac:dyDescent="0.2">
      <c r="A338" s="198"/>
      <c r="B338" s="199"/>
      <c r="C338" s="219"/>
      <c r="D338" s="232" t="s">
        <v>281</v>
      </c>
      <c r="E338" s="200"/>
      <c r="F338" s="326"/>
      <c r="G338" s="200"/>
      <c r="H338" s="296"/>
    </row>
    <row r="339" spans="1:9" s="260" customFormat="1" ht="12.75" hidden="1" customHeight="1" x14ac:dyDescent="0.2">
      <c r="A339" s="198"/>
      <c r="B339" s="199"/>
      <c r="C339" s="219"/>
      <c r="D339" s="232" t="s">
        <v>280</v>
      </c>
      <c r="E339" s="200"/>
      <c r="F339" s="326"/>
      <c r="G339" s="200"/>
      <c r="H339" s="296"/>
    </row>
    <row r="340" spans="1:9" s="260" customFormat="1" ht="12.75" hidden="1" customHeight="1" x14ac:dyDescent="0.2">
      <c r="A340" s="198"/>
      <c r="B340" s="199"/>
      <c r="C340" s="219"/>
      <c r="D340" s="232" t="s">
        <v>289</v>
      </c>
      <c r="E340" s="200"/>
      <c r="F340" s="326"/>
      <c r="G340" s="200"/>
      <c r="H340" s="296"/>
      <c r="I340" s="195"/>
    </row>
    <row r="341" spans="1:9" s="260" customFormat="1" ht="12.75" hidden="1" customHeight="1" x14ac:dyDescent="0.2">
      <c r="A341" s="198"/>
      <c r="B341" s="199"/>
      <c r="C341" s="219"/>
      <c r="D341" s="232" t="s">
        <v>258</v>
      </c>
      <c r="E341" s="200"/>
      <c r="F341" s="326"/>
      <c r="G341" s="200"/>
      <c r="H341" s="296"/>
      <c r="I341" s="316"/>
    </row>
    <row r="342" spans="1:9" s="260" customFormat="1" ht="12.75" hidden="1" customHeight="1" x14ac:dyDescent="0.2">
      <c r="A342" s="198"/>
      <c r="B342" s="199"/>
      <c r="C342" s="219"/>
      <c r="D342" s="232" t="s">
        <v>296</v>
      </c>
      <c r="E342" s="200"/>
      <c r="F342" s="326"/>
      <c r="G342" s="200"/>
      <c r="H342" s="296"/>
      <c r="I342" s="318"/>
    </row>
    <row r="343" spans="1:9" s="260" customFormat="1" ht="12.75" hidden="1" customHeight="1" x14ac:dyDescent="0.2">
      <c r="A343" s="198"/>
      <c r="B343" s="199"/>
      <c r="C343" s="219"/>
      <c r="D343" s="232" t="s">
        <v>340</v>
      </c>
      <c r="E343" s="200"/>
      <c r="F343" s="326"/>
      <c r="G343" s="200"/>
      <c r="H343" s="296"/>
    </row>
    <row r="344" spans="1:9" s="260" customFormat="1" ht="12.75" hidden="1" customHeight="1" x14ac:dyDescent="0.2">
      <c r="A344" s="198"/>
      <c r="B344" s="199"/>
      <c r="C344" s="219"/>
      <c r="D344" s="232" t="s">
        <v>327</v>
      </c>
      <c r="E344" s="200"/>
      <c r="F344" s="326"/>
      <c r="G344" s="200"/>
      <c r="H344" s="296"/>
    </row>
    <row r="345" spans="1:9" s="260" customFormat="1" ht="12.75" customHeight="1" x14ac:dyDescent="0.2">
      <c r="A345" s="194">
        <f>A334+1</f>
        <v>36</v>
      </c>
      <c r="B345" s="263">
        <v>4050</v>
      </c>
      <c r="C345" s="264" t="s">
        <v>217</v>
      </c>
      <c r="D345" s="493" t="str">
        <f>$D$5</f>
        <v>FTE September 2024</v>
      </c>
      <c r="E345" s="197">
        <f>'4050'!I$145</f>
        <v>550189.84</v>
      </c>
      <c r="F345" s="327"/>
      <c r="G345" s="197">
        <f>SUBTOTAL(109,E345:F351)</f>
        <v>550283.76</v>
      </c>
      <c r="H345" s="296"/>
    </row>
    <row r="346" spans="1:9" s="260" customFormat="1" ht="12.75" customHeight="1" x14ac:dyDescent="0.2">
      <c r="A346" s="194"/>
      <c r="B346" s="263"/>
      <c r="C346" s="264"/>
      <c r="D346" s="548" t="s">
        <v>519</v>
      </c>
      <c r="E346" s="197"/>
      <c r="F346" s="327">
        <v>93.92000000004191</v>
      </c>
      <c r="G346" s="197"/>
      <c r="H346" s="296"/>
      <c r="I346" s="195"/>
    </row>
    <row r="347" spans="1:9" s="260" customFormat="1" ht="12.75" hidden="1" customHeight="1" x14ac:dyDescent="0.2">
      <c r="A347" s="194"/>
      <c r="B347" s="263"/>
      <c r="C347" s="264"/>
      <c r="D347" s="231" t="s">
        <v>473</v>
      </c>
      <c r="E347" s="197"/>
      <c r="F347" s="327"/>
      <c r="G347" s="197"/>
      <c r="H347" s="296"/>
      <c r="I347" s="195"/>
    </row>
    <row r="348" spans="1:9" s="260" customFormat="1" ht="12.75" hidden="1" customHeight="1" x14ac:dyDescent="0.2">
      <c r="A348" s="194"/>
      <c r="B348" s="195"/>
      <c r="C348" s="218"/>
      <c r="D348" s="231" t="s">
        <v>280</v>
      </c>
      <c r="E348" s="197"/>
      <c r="F348" s="327"/>
      <c r="G348" s="197"/>
      <c r="H348" s="296"/>
    </row>
    <row r="349" spans="1:9" s="260" customFormat="1" ht="12.75" hidden="1" customHeight="1" x14ac:dyDescent="0.2">
      <c r="A349" s="194"/>
      <c r="B349" s="195"/>
      <c r="C349" s="218"/>
      <c r="D349" s="231" t="s">
        <v>289</v>
      </c>
      <c r="E349" s="197"/>
      <c r="F349" s="327"/>
      <c r="G349" s="197"/>
      <c r="H349" s="296"/>
    </row>
    <row r="350" spans="1:9" s="260" customFormat="1" ht="12.75" hidden="1" customHeight="1" x14ac:dyDescent="0.2">
      <c r="A350" s="194"/>
      <c r="B350" s="195"/>
      <c r="C350" s="218"/>
      <c r="D350" s="231" t="s">
        <v>258</v>
      </c>
      <c r="E350" s="197"/>
      <c r="F350" s="327"/>
      <c r="G350" s="197"/>
      <c r="H350" s="296"/>
    </row>
    <row r="351" spans="1:9" s="260" customFormat="1" ht="12.75" hidden="1" customHeight="1" x14ac:dyDescent="0.2">
      <c r="A351" s="194"/>
      <c r="B351" s="195"/>
      <c r="C351" s="218"/>
      <c r="D351" s="276" t="s">
        <v>327</v>
      </c>
      <c r="E351" s="197"/>
      <c r="F351" s="327"/>
      <c r="G351" s="197"/>
      <c r="H351" s="296"/>
    </row>
    <row r="352" spans="1:9" s="260" customFormat="1" ht="12.75" customHeight="1" x14ac:dyDescent="0.2">
      <c r="A352" s="198">
        <f>A345+1</f>
        <v>37</v>
      </c>
      <c r="B352" s="199">
        <v>4051</v>
      </c>
      <c r="C352" s="219" t="s">
        <v>215</v>
      </c>
      <c r="D352" s="277" t="str">
        <f>$D$5</f>
        <v>FTE September 2024</v>
      </c>
      <c r="E352" s="200">
        <f>'4051'!I$145</f>
        <v>603774.15</v>
      </c>
      <c r="F352" s="326"/>
      <c r="G352" s="200">
        <f>SUBTOTAL(109,E352:F360)</f>
        <v>603868.85999999987</v>
      </c>
      <c r="H352" s="296"/>
    </row>
    <row r="353" spans="1:9" s="260" customFormat="1" ht="12.75" customHeight="1" x14ac:dyDescent="0.2">
      <c r="A353" s="198"/>
      <c r="B353" s="199"/>
      <c r="C353" s="219"/>
      <c r="D353" s="313" t="s">
        <v>519</v>
      </c>
      <c r="E353" s="200"/>
      <c r="F353" s="326">
        <v>94.709999999846332</v>
      </c>
      <c r="G353" s="200"/>
      <c r="H353" s="296"/>
      <c r="I353" s="318"/>
    </row>
    <row r="354" spans="1:9" s="260" customFormat="1" ht="12.75" hidden="1" customHeight="1" x14ac:dyDescent="0.2">
      <c r="A354" s="198"/>
      <c r="B354" s="199"/>
      <c r="C354" s="219"/>
      <c r="D354" s="232" t="s">
        <v>473</v>
      </c>
      <c r="E354" s="200"/>
      <c r="F354" s="326"/>
      <c r="G354" s="200"/>
      <c r="H354" s="296"/>
    </row>
    <row r="355" spans="1:9" s="260" customFormat="1" ht="12.75" hidden="1" customHeight="1" x14ac:dyDescent="0.2">
      <c r="A355" s="198"/>
      <c r="B355" s="199"/>
      <c r="C355" s="219"/>
      <c r="D355" s="232" t="s">
        <v>280</v>
      </c>
      <c r="E355" s="200"/>
      <c r="F355" s="326"/>
      <c r="G355" s="200"/>
      <c r="H355" s="296"/>
    </row>
    <row r="356" spans="1:9" s="260" customFormat="1" ht="12.75" hidden="1" customHeight="1" x14ac:dyDescent="0.2">
      <c r="A356" s="198"/>
      <c r="B356" s="199"/>
      <c r="C356" s="219"/>
      <c r="D356" s="232" t="s">
        <v>289</v>
      </c>
      <c r="E356" s="200"/>
      <c r="F356" s="326"/>
      <c r="G356" s="200"/>
      <c r="H356" s="296"/>
    </row>
    <row r="357" spans="1:9" s="260" customFormat="1" ht="12.75" hidden="1" customHeight="1" x14ac:dyDescent="0.2">
      <c r="A357" s="198"/>
      <c r="B357" s="199"/>
      <c r="C357" s="219"/>
      <c r="D357" s="232" t="s">
        <v>258</v>
      </c>
      <c r="E357" s="200"/>
      <c r="F357" s="326"/>
      <c r="G357" s="200"/>
      <c r="H357" s="296"/>
    </row>
    <row r="358" spans="1:9" s="260" customFormat="1" ht="12.75" hidden="1" customHeight="1" x14ac:dyDescent="0.2">
      <c r="A358" s="198"/>
      <c r="B358" s="199"/>
      <c r="C358" s="219"/>
      <c r="D358" s="232" t="s">
        <v>296</v>
      </c>
      <c r="E358" s="200"/>
      <c r="F358" s="326"/>
      <c r="G358" s="200"/>
      <c r="H358" s="296"/>
    </row>
    <row r="359" spans="1:9" s="260" customFormat="1" ht="12.75" hidden="1" customHeight="1" x14ac:dyDescent="0.2">
      <c r="A359" s="198"/>
      <c r="B359" s="199"/>
      <c r="C359" s="219"/>
      <c r="D359" s="232" t="s">
        <v>339</v>
      </c>
      <c r="E359" s="200"/>
      <c r="F359" s="326"/>
      <c r="G359" s="200"/>
      <c r="H359" s="296"/>
    </row>
    <row r="360" spans="1:9" s="260" customFormat="1" ht="12.75" hidden="1" customHeight="1" x14ac:dyDescent="0.2">
      <c r="A360" s="198"/>
      <c r="B360" s="199"/>
      <c r="C360" s="219"/>
      <c r="D360" s="232"/>
      <c r="E360" s="200"/>
      <c r="F360" s="326"/>
      <c r="G360" s="200"/>
      <c r="H360" s="296"/>
      <c r="I360" s="316"/>
    </row>
    <row r="361" spans="1:9" s="260" customFormat="1" ht="12.75" customHeight="1" x14ac:dyDescent="0.2">
      <c r="A361" s="194">
        <f>A352+1</f>
        <v>38</v>
      </c>
      <c r="B361" s="263">
        <v>4061</v>
      </c>
      <c r="C361" s="265" t="s">
        <v>331</v>
      </c>
      <c r="D361" s="493" t="str">
        <f>$D$5</f>
        <v>FTE September 2024</v>
      </c>
      <c r="E361" s="197">
        <f>'4061'!I$145</f>
        <v>681940.1</v>
      </c>
      <c r="F361" s="327"/>
      <c r="G361" s="197">
        <f>SUBTOTAL(109,E361:F369)</f>
        <v>681977.46</v>
      </c>
      <c r="H361" s="296"/>
    </row>
    <row r="362" spans="1:9" s="260" customFormat="1" ht="12.75" customHeight="1" x14ac:dyDescent="0.2">
      <c r="A362" s="194"/>
      <c r="B362" s="263"/>
      <c r="C362" s="264"/>
      <c r="D362" s="548" t="s">
        <v>519</v>
      </c>
      <c r="E362" s="197"/>
      <c r="F362" s="327">
        <v>37.35999999998603</v>
      </c>
      <c r="G362" s="197"/>
      <c r="H362" s="296"/>
    </row>
    <row r="363" spans="1:9" s="260" customFormat="1" ht="12.75" hidden="1" customHeight="1" x14ac:dyDescent="0.2">
      <c r="A363" s="194"/>
      <c r="B363" s="195"/>
      <c r="C363" s="218"/>
      <c r="D363" s="340" t="s">
        <v>473</v>
      </c>
      <c r="E363" s="197"/>
      <c r="F363" s="327"/>
      <c r="G363" s="197"/>
      <c r="H363" s="296"/>
    </row>
    <row r="364" spans="1:9" s="260" customFormat="1" ht="12.75" hidden="1" customHeight="1" x14ac:dyDescent="0.2">
      <c r="A364" s="194"/>
      <c r="B364" s="263"/>
      <c r="C364" s="264"/>
      <c r="D364" s="231" t="s">
        <v>279</v>
      </c>
      <c r="E364" s="197"/>
      <c r="F364" s="327"/>
      <c r="G364" s="197"/>
      <c r="H364" s="296"/>
    </row>
    <row r="365" spans="1:9" s="260" customFormat="1" ht="12.75" hidden="1" customHeight="1" x14ac:dyDescent="0.2">
      <c r="A365" s="194"/>
      <c r="B365" s="263"/>
      <c r="C365" s="264"/>
      <c r="D365" s="231" t="s">
        <v>281</v>
      </c>
      <c r="E365" s="197"/>
      <c r="F365" s="327"/>
      <c r="G365" s="197"/>
      <c r="H365" s="296"/>
    </row>
    <row r="366" spans="1:9" s="260" customFormat="1" ht="12.75" hidden="1" customHeight="1" x14ac:dyDescent="0.2">
      <c r="A366" s="194"/>
      <c r="B366" s="195"/>
      <c r="C366" s="218"/>
      <c r="D366" s="231" t="s">
        <v>280</v>
      </c>
      <c r="E366" s="197"/>
      <c r="F366" s="327"/>
      <c r="G366" s="197"/>
      <c r="H366" s="296"/>
    </row>
    <row r="367" spans="1:9" s="260" customFormat="1" ht="12.75" hidden="1" customHeight="1" x14ac:dyDescent="0.2">
      <c r="A367" s="194"/>
      <c r="B367" s="195"/>
      <c r="C367" s="218"/>
      <c r="D367" s="231" t="s">
        <v>289</v>
      </c>
      <c r="E367" s="197"/>
      <c r="F367" s="327"/>
      <c r="G367" s="197"/>
      <c r="H367" s="296"/>
    </row>
    <row r="368" spans="1:9" s="260" customFormat="1" ht="12.75" hidden="1" customHeight="1" x14ac:dyDescent="0.2">
      <c r="A368" s="194"/>
      <c r="B368" s="195"/>
      <c r="C368" s="218"/>
      <c r="D368" s="231" t="s">
        <v>258</v>
      </c>
      <c r="E368" s="197"/>
      <c r="F368" s="327"/>
      <c r="G368" s="197"/>
      <c r="H368" s="296"/>
    </row>
    <row r="369" spans="1:9" s="260" customFormat="1" ht="12.75" hidden="1" customHeight="1" x14ac:dyDescent="0.2">
      <c r="A369" s="194"/>
      <c r="B369" s="195"/>
      <c r="C369" s="218"/>
      <c r="D369" s="436" t="s">
        <v>436</v>
      </c>
      <c r="E369" s="435"/>
      <c r="F369" s="327"/>
      <c r="G369" s="197"/>
      <c r="H369" s="296"/>
      <c r="I369" s="318"/>
    </row>
    <row r="370" spans="1:9" s="260" customFormat="1" ht="12.75" customHeight="1" x14ac:dyDescent="0.2">
      <c r="A370" s="198">
        <f>A361+1</f>
        <v>39</v>
      </c>
      <c r="B370" s="199">
        <v>4080</v>
      </c>
      <c r="C370" s="219" t="s">
        <v>238</v>
      </c>
      <c r="D370" s="277" t="str">
        <f>$D$5</f>
        <v>FTE September 2024</v>
      </c>
      <c r="E370" s="200">
        <f>'4080'!I$145</f>
        <v>192310.43</v>
      </c>
      <c r="F370" s="326"/>
      <c r="G370" s="200">
        <f>SUBTOTAL(109,E370:F376)</f>
        <v>192403.28999999998</v>
      </c>
      <c r="H370" s="296"/>
    </row>
    <row r="371" spans="1:9" s="260" customFormat="1" ht="12.75" customHeight="1" x14ac:dyDescent="0.2">
      <c r="A371" s="198"/>
      <c r="B371" s="199"/>
      <c r="C371" s="219"/>
      <c r="D371" s="313" t="s">
        <v>519</v>
      </c>
      <c r="E371" s="200"/>
      <c r="F371" s="326">
        <v>92.85999999998603</v>
      </c>
      <c r="G371" s="200"/>
      <c r="H371" s="296"/>
    </row>
    <row r="372" spans="1:9" s="260" customFormat="1" ht="12.75" hidden="1" customHeight="1" x14ac:dyDescent="0.2">
      <c r="A372" s="198"/>
      <c r="B372" s="199"/>
      <c r="C372" s="219"/>
      <c r="D372" s="232" t="s">
        <v>473</v>
      </c>
      <c r="E372" s="200"/>
      <c r="F372" s="326"/>
      <c r="G372" s="200"/>
      <c r="H372" s="296"/>
    </row>
    <row r="373" spans="1:9" s="260" customFormat="1" ht="12.75" hidden="1" customHeight="1" x14ac:dyDescent="0.2">
      <c r="A373" s="198"/>
      <c r="B373" s="199"/>
      <c r="C373" s="219"/>
      <c r="D373" s="232" t="s">
        <v>280</v>
      </c>
      <c r="E373" s="200"/>
      <c r="F373" s="326"/>
      <c r="G373" s="200"/>
      <c r="H373" s="296"/>
      <c r="I373" s="195"/>
    </row>
    <row r="374" spans="1:9" s="260" customFormat="1" ht="12.75" hidden="1" customHeight="1" x14ac:dyDescent="0.2">
      <c r="A374" s="198"/>
      <c r="B374" s="199"/>
      <c r="C374" s="219"/>
      <c r="D374" s="232" t="s">
        <v>289</v>
      </c>
      <c r="E374" s="200"/>
      <c r="F374" s="326"/>
      <c r="G374" s="200"/>
      <c r="H374" s="296"/>
    </row>
    <row r="375" spans="1:9" s="260" customFormat="1" ht="12.75" hidden="1" customHeight="1" x14ac:dyDescent="0.2">
      <c r="A375" s="198"/>
      <c r="B375" s="199"/>
      <c r="C375" s="219"/>
      <c r="D375" s="232" t="s">
        <v>258</v>
      </c>
      <c r="E375" s="200"/>
      <c r="F375" s="326"/>
      <c r="G375" s="200"/>
      <c r="H375" s="296"/>
    </row>
    <row r="376" spans="1:9" s="260" customFormat="1" ht="12.75" hidden="1" customHeight="1" x14ac:dyDescent="0.2">
      <c r="A376" s="198"/>
      <c r="B376" s="199"/>
      <c r="C376" s="219"/>
      <c r="D376" s="232" t="s">
        <v>327</v>
      </c>
      <c r="E376" s="200"/>
      <c r="F376" s="326"/>
      <c r="G376" s="200"/>
      <c r="H376" s="296"/>
      <c r="I376" s="195"/>
    </row>
    <row r="377" spans="1:9" s="260" customFormat="1" ht="12.75" customHeight="1" x14ac:dyDescent="0.2">
      <c r="A377" s="194">
        <f>1+A370</f>
        <v>40</v>
      </c>
      <c r="B377" s="263">
        <v>4081</v>
      </c>
      <c r="C377" s="265" t="s">
        <v>235</v>
      </c>
      <c r="D377" s="493" t="str">
        <f>$D$5</f>
        <v>FTE September 2024</v>
      </c>
      <c r="E377" s="197">
        <f>'4081'!I$145</f>
        <v>81071.899999999994</v>
      </c>
      <c r="F377" s="327"/>
      <c r="G377" s="197">
        <f>SUBTOTAL(109,E377:F385)</f>
        <v>81115.48000000001</v>
      </c>
      <c r="H377" s="296"/>
    </row>
    <row r="378" spans="1:9" s="260" customFormat="1" ht="12.75" customHeight="1" x14ac:dyDescent="0.2">
      <c r="A378" s="194"/>
      <c r="B378" s="263"/>
      <c r="C378" s="265"/>
      <c r="D378" s="548" t="s">
        <v>519</v>
      </c>
      <c r="E378" s="197"/>
      <c r="F378" s="327">
        <v>43.580000000016298</v>
      </c>
      <c r="G378" s="197"/>
      <c r="H378" s="296"/>
      <c r="I378" s="316"/>
    </row>
    <row r="379" spans="1:9" s="260" customFormat="1" ht="12.75" hidden="1" customHeight="1" x14ac:dyDescent="0.2">
      <c r="A379" s="194"/>
      <c r="B379" s="195"/>
      <c r="C379" s="218"/>
      <c r="D379" s="340" t="s">
        <v>473</v>
      </c>
      <c r="E379" s="197"/>
      <c r="F379" s="327"/>
      <c r="G379" s="197"/>
      <c r="H379" s="296"/>
      <c r="I379" s="316"/>
    </row>
    <row r="380" spans="1:9" s="260" customFormat="1" ht="12.75" hidden="1" customHeight="1" x14ac:dyDescent="0.2">
      <c r="A380" s="194"/>
      <c r="B380" s="263"/>
      <c r="C380" s="265"/>
      <c r="D380" s="231" t="s">
        <v>281</v>
      </c>
      <c r="E380" s="197"/>
      <c r="F380" s="327"/>
      <c r="G380" s="197"/>
      <c r="H380" s="296"/>
    </row>
    <row r="381" spans="1:9" s="260" customFormat="1" ht="12.75" hidden="1" customHeight="1" x14ac:dyDescent="0.2">
      <c r="A381" s="194"/>
      <c r="B381" s="263"/>
      <c r="C381" s="265"/>
      <c r="D381" s="231" t="s">
        <v>280</v>
      </c>
      <c r="E381" s="197"/>
      <c r="F381" s="327"/>
      <c r="G381" s="197"/>
      <c r="H381" s="296"/>
    </row>
    <row r="382" spans="1:9" s="260" customFormat="1" ht="12.75" hidden="1" customHeight="1" x14ac:dyDescent="0.2">
      <c r="A382" s="194"/>
      <c r="B382" s="263"/>
      <c r="C382" s="265"/>
      <c r="D382" s="231" t="s">
        <v>289</v>
      </c>
      <c r="E382" s="197"/>
      <c r="F382" s="327"/>
      <c r="G382" s="197"/>
      <c r="H382" s="296"/>
    </row>
    <row r="383" spans="1:9" s="260" customFormat="1" ht="12.75" hidden="1" customHeight="1" x14ac:dyDescent="0.2">
      <c r="A383" s="194"/>
      <c r="B383" s="195"/>
      <c r="C383" s="218"/>
      <c r="D383" s="231" t="s">
        <v>258</v>
      </c>
      <c r="E383" s="197"/>
      <c r="F383" s="327"/>
      <c r="G383" s="197"/>
      <c r="H383" s="296"/>
    </row>
    <row r="384" spans="1:9" s="260" customFormat="1" ht="12.75" hidden="1" customHeight="1" x14ac:dyDescent="0.2">
      <c r="A384" s="194"/>
      <c r="B384" s="195"/>
      <c r="C384" s="218"/>
      <c r="D384" s="231" t="s">
        <v>340</v>
      </c>
      <c r="E384" s="197"/>
      <c r="F384" s="327"/>
      <c r="G384" s="197"/>
      <c r="H384" s="296"/>
    </row>
    <row r="385" spans="1:12" s="260" customFormat="1" ht="12.75" hidden="1" customHeight="1" x14ac:dyDescent="0.2">
      <c r="A385" s="194"/>
      <c r="B385" s="195"/>
      <c r="C385" s="218"/>
      <c r="D385" s="276" t="s">
        <v>327</v>
      </c>
      <c r="E385" s="197"/>
      <c r="F385" s="327"/>
      <c r="G385" s="197"/>
      <c r="H385" s="296"/>
    </row>
    <row r="386" spans="1:12" s="260" customFormat="1" ht="12.75" customHeight="1" x14ac:dyDescent="0.2">
      <c r="A386" s="198">
        <f>1+A377</f>
        <v>41</v>
      </c>
      <c r="B386" s="199">
        <v>4090</v>
      </c>
      <c r="C386" s="219" t="s">
        <v>275</v>
      </c>
      <c r="D386" s="277" t="str">
        <f>$D$5</f>
        <v>FTE September 2024</v>
      </c>
      <c r="E386" s="200">
        <f>'4090'!I$145</f>
        <v>225343.81</v>
      </c>
      <c r="F386" s="326"/>
      <c r="G386" s="200">
        <f>SUBTOTAL(109,E386:F395)</f>
        <v>225433.53</v>
      </c>
      <c r="H386" s="296"/>
    </row>
    <row r="387" spans="1:12" s="260" customFormat="1" ht="12.75" customHeight="1" x14ac:dyDescent="0.2">
      <c r="A387" s="198"/>
      <c r="B387" s="199"/>
      <c r="C387" s="219"/>
      <c r="D387" s="313" t="s">
        <v>519</v>
      </c>
      <c r="E387" s="200"/>
      <c r="F387" s="326">
        <v>89.720000000001164</v>
      </c>
      <c r="G387" s="200"/>
      <c r="H387" s="296"/>
      <c r="L387" s="317"/>
    </row>
    <row r="388" spans="1:12" s="260" customFormat="1" ht="12.75" hidden="1" customHeight="1" x14ac:dyDescent="0.2">
      <c r="A388" s="198"/>
      <c r="B388" s="199"/>
      <c r="C388" s="219"/>
      <c r="D388" s="372" t="s">
        <v>344</v>
      </c>
      <c r="E388" s="200"/>
      <c r="F388" s="326"/>
      <c r="G388" s="200"/>
      <c r="H388" s="296"/>
    </row>
    <row r="389" spans="1:12" s="260" customFormat="1" ht="12.75" hidden="1" customHeight="1" x14ac:dyDescent="0.2">
      <c r="A389" s="198"/>
      <c r="B389" s="199"/>
      <c r="C389" s="219"/>
      <c r="D389" s="372" t="s">
        <v>343</v>
      </c>
      <c r="E389" s="200"/>
      <c r="F389" s="326"/>
      <c r="G389" s="200"/>
      <c r="H389" s="296"/>
      <c r="I389" s="195"/>
    </row>
    <row r="390" spans="1:12" s="260" customFormat="1" ht="12.75" hidden="1" customHeight="1" x14ac:dyDescent="0.2">
      <c r="A390" s="198"/>
      <c r="B390" s="199"/>
      <c r="C390" s="219"/>
      <c r="D390" s="232" t="s">
        <v>281</v>
      </c>
      <c r="E390" s="200"/>
      <c r="F390" s="326"/>
      <c r="G390" s="200"/>
      <c r="H390" s="296"/>
    </row>
    <row r="391" spans="1:12" s="260" customFormat="1" ht="12.75" hidden="1" customHeight="1" x14ac:dyDescent="0.2">
      <c r="A391" s="198"/>
      <c r="B391" s="199"/>
      <c r="C391" s="219"/>
      <c r="D391" s="232" t="s">
        <v>280</v>
      </c>
      <c r="E391" s="200"/>
      <c r="F391" s="326"/>
      <c r="G391" s="200"/>
      <c r="H391" s="296"/>
    </row>
    <row r="392" spans="1:12" s="260" customFormat="1" ht="12.75" hidden="1" customHeight="1" x14ac:dyDescent="0.2">
      <c r="A392" s="198"/>
      <c r="B392" s="199"/>
      <c r="C392" s="219"/>
      <c r="D392" s="232" t="s">
        <v>289</v>
      </c>
      <c r="E392" s="200"/>
      <c r="F392" s="326"/>
      <c r="G392" s="200"/>
      <c r="H392" s="296"/>
    </row>
    <row r="393" spans="1:12" s="260" customFormat="1" ht="12.75" hidden="1" customHeight="1" x14ac:dyDescent="0.2">
      <c r="A393" s="198"/>
      <c r="B393" s="199"/>
      <c r="C393" s="219"/>
      <c r="D393" s="232" t="s">
        <v>258</v>
      </c>
      <c r="E393" s="200"/>
      <c r="F393" s="326"/>
      <c r="G393" s="200"/>
      <c r="H393" s="296"/>
      <c r="I393" s="316"/>
    </row>
    <row r="394" spans="1:12" s="260" customFormat="1" ht="12.75" hidden="1" customHeight="1" x14ac:dyDescent="0.2">
      <c r="A394" s="198"/>
      <c r="B394" s="199"/>
      <c r="C394" s="219"/>
      <c r="D394" s="232" t="s">
        <v>340</v>
      </c>
      <c r="E394" s="200"/>
      <c r="F394" s="326"/>
      <c r="G394" s="200"/>
      <c r="H394" s="296"/>
      <c r="I394" s="318"/>
    </row>
    <row r="395" spans="1:12" s="260" customFormat="1" ht="12.75" hidden="1" customHeight="1" x14ac:dyDescent="0.2">
      <c r="A395" s="198"/>
      <c r="B395" s="199"/>
      <c r="C395" s="219"/>
      <c r="D395" s="232" t="s">
        <v>508</v>
      </c>
      <c r="E395" s="200"/>
      <c r="F395" s="326"/>
      <c r="G395" s="200"/>
      <c r="H395" s="296"/>
      <c r="I395" s="316"/>
    </row>
    <row r="396" spans="1:12" s="260" customFormat="1" ht="12.75" customHeight="1" x14ac:dyDescent="0.2">
      <c r="A396" s="194">
        <f>1+A386</f>
        <v>42</v>
      </c>
      <c r="B396" s="263">
        <v>4091</v>
      </c>
      <c r="C396" s="265" t="s">
        <v>276</v>
      </c>
      <c r="D396" s="493" t="str">
        <f>$D$5</f>
        <v>FTE September 2024</v>
      </c>
      <c r="E396" s="197">
        <f>'4091'!I$145</f>
        <v>300715.7</v>
      </c>
      <c r="F396" s="327"/>
      <c r="G396" s="197">
        <f>SUBTOTAL(109,E396:F405)</f>
        <v>300813.28000000003</v>
      </c>
      <c r="H396" s="296"/>
      <c r="L396" s="317"/>
    </row>
    <row r="397" spans="1:12" s="260" customFormat="1" ht="12.75" customHeight="1" x14ac:dyDescent="0.2">
      <c r="A397" s="194"/>
      <c r="B397" s="263"/>
      <c r="C397" s="265"/>
      <c r="D397" s="548" t="s">
        <v>519</v>
      </c>
      <c r="E397" s="197"/>
      <c r="F397" s="327">
        <v>97.580000000016298</v>
      </c>
      <c r="G397" s="197"/>
      <c r="H397" s="296"/>
    </row>
    <row r="398" spans="1:12" s="260" customFormat="1" ht="12.75" hidden="1" customHeight="1" x14ac:dyDescent="0.2">
      <c r="A398" s="194"/>
      <c r="B398" s="195"/>
      <c r="C398" s="218"/>
      <c r="D398" s="340" t="s">
        <v>473</v>
      </c>
      <c r="E398" s="197"/>
      <c r="F398" s="327"/>
      <c r="G398" s="197"/>
      <c r="H398" s="296"/>
      <c r="I398" s="195"/>
    </row>
    <row r="399" spans="1:12" s="260" customFormat="1" ht="12.75" hidden="1" customHeight="1" x14ac:dyDescent="0.2">
      <c r="A399" s="194"/>
      <c r="B399" s="263"/>
      <c r="C399" s="265"/>
      <c r="D399" s="231" t="s">
        <v>281</v>
      </c>
      <c r="E399" s="197"/>
      <c r="F399" s="327"/>
      <c r="G399" s="197"/>
      <c r="H399" s="296"/>
      <c r="I399" s="195"/>
    </row>
    <row r="400" spans="1:12" s="260" customFormat="1" ht="12.75" hidden="1" customHeight="1" x14ac:dyDescent="0.2">
      <c r="A400" s="194"/>
      <c r="B400" s="263"/>
      <c r="C400" s="265"/>
      <c r="D400" s="231" t="s">
        <v>280</v>
      </c>
      <c r="E400" s="197"/>
      <c r="F400" s="327"/>
      <c r="G400" s="197"/>
      <c r="H400" s="296"/>
    </row>
    <row r="401" spans="1:13" s="260" customFormat="1" ht="12.75" hidden="1" customHeight="1" x14ac:dyDescent="0.2">
      <c r="A401" s="194"/>
      <c r="B401" s="263"/>
      <c r="C401" s="265"/>
      <c r="D401" s="231" t="s">
        <v>289</v>
      </c>
      <c r="E401" s="197"/>
      <c r="F401" s="327"/>
      <c r="G401" s="197"/>
      <c r="H401" s="296"/>
    </row>
    <row r="402" spans="1:13" s="260" customFormat="1" ht="12.75" hidden="1" customHeight="1" x14ac:dyDescent="0.2">
      <c r="A402" s="194"/>
      <c r="B402" s="195"/>
      <c r="C402" s="218"/>
      <c r="D402" s="231" t="s">
        <v>258</v>
      </c>
      <c r="E402" s="197"/>
      <c r="F402" s="327"/>
      <c r="G402" s="197"/>
      <c r="H402" s="296"/>
    </row>
    <row r="403" spans="1:13" s="260" customFormat="1" ht="12.75" hidden="1" customHeight="1" x14ac:dyDescent="0.2">
      <c r="A403" s="194"/>
      <c r="B403" s="195"/>
      <c r="C403" s="218"/>
      <c r="D403" s="231" t="s">
        <v>340</v>
      </c>
      <c r="E403" s="197"/>
      <c r="F403" s="327"/>
      <c r="G403" s="197"/>
      <c r="H403" s="296"/>
    </row>
    <row r="404" spans="1:13" s="260" customFormat="1" ht="12.75" hidden="1" customHeight="1" x14ac:dyDescent="0.2">
      <c r="A404" s="194"/>
      <c r="B404" s="195"/>
      <c r="C404" s="218"/>
      <c r="D404" s="276" t="s">
        <v>474</v>
      </c>
      <c r="E404" s="197"/>
      <c r="F404" s="327"/>
      <c r="G404" s="197"/>
      <c r="H404" s="296"/>
    </row>
    <row r="405" spans="1:13" s="260" customFormat="1" ht="12.75" hidden="1" customHeight="1" x14ac:dyDescent="0.2">
      <c r="A405" s="194"/>
      <c r="B405" s="195"/>
      <c r="C405" s="218"/>
      <c r="D405" s="276" t="s">
        <v>371</v>
      </c>
      <c r="E405" s="197"/>
      <c r="F405" s="327"/>
      <c r="G405" s="197"/>
      <c r="H405" s="296"/>
    </row>
    <row r="406" spans="1:13" s="260" customFormat="1" ht="12.75" customHeight="1" x14ac:dyDescent="0.2">
      <c r="A406" s="198">
        <f>1+A396</f>
        <v>43</v>
      </c>
      <c r="B406" s="199">
        <v>4100</v>
      </c>
      <c r="C406" s="219" t="s">
        <v>268</v>
      </c>
      <c r="D406" s="277" t="str">
        <f>$D$5</f>
        <v>FTE September 2024</v>
      </c>
      <c r="E406" s="200">
        <f>'4100'!I$145</f>
        <v>268808.69</v>
      </c>
      <c r="F406" s="326"/>
      <c r="G406" s="200">
        <f>SUBTOTAL(109,E406:F414)</f>
        <v>268840.27999999997</v>
      </c>
      <c r="H406" s="296"/>
      <c r="M406" s="317"/>
    </row>
    <row r="407" spans="1:13" s="260" customFormat="1" ht="12.75" customHeight="1" x14ac:dyDescent="0.2">
      <c r="A407" s="198"/>
      <c r="B407" s="199"/>
      <c r="C407" s="219"/>
      <c r="D407" s="313" t="s">
        <v>519</v>
      </c>
      <c r="E407" s="200"/>
      <c r="F407" s="326">
        <v>31.589999999967404</v>
      </c>
      <c r="G407" s="200"/>
      <c r="H407" s="296"/>
    </row>
    <row r="408" spans="1:13" s="260" customFormat="1" ht="12.75" hidden="1" customHeight="1" x14ac:dyDescent="0.2">
      <c r="A408" s="198"/>
      <c r="B408" s="199"/>
      <c r="C408" s="219"/>
      <c r="D408" s="372" t="s">
        <v>473</v>
      </c>
      <c r="E408" s="200"/>
      <c r="F408" s="326"/>
      <c r="G408" s="200"/>
      <c r="H408" s="296"/>
      <c r="I408" s="195"/>
    </row>
    <row r="409" spans="1:13" s="260" customFormat="1" ht="12.75" hidden="1" customHeight="1" x14ac:dyDescent="0.2">
      <c r="A409" s="198"/>
      <c r="B409" s="199"/>
      <c r="C409" s="219"/>
      <c r="D409" s="232" t="s">
        <v>281</v>
      </c>
      <c r="E409" s="200"/>
      <c r="F409" s="326"/>
      <c r="G409" s="200"/>
      <c r="H409" s="296"/>
    </row>
    <row r="410" spans="1:13" s="260" customFormat="1" ht="12.75" hidden="1" customHeight="1" x14ac:dyDescent="0.2">
      <c r="A410" s="198"/>
      <c r="B410" s="199"/>
      <c r="C410" s="219"/>
      <c r="D410" s="232" t="s">
        <v>280</v>
      </c>
      <c r="E410" s="200"/>
      <c r="F410" s="326"/>
      <c r="G410" s="200"/>
      <c r="H410" s="296"/>
    </row>
    <row r="411" spans="1:13" s="260" customFormat="1" ht="12.75" hidden="1" customHeight="1" x14ac:dyDescent="0.2">
      <c r="A411" s="198"/>
      <c r="B411" s="199"/>
      <c r="C411" s="219"/>
      <c r="D411" s="232" t="s">
        <v>289</v>
      </c>
      <c r="E411" s="200"/>
      <c r="F411" s="326"/>
      <c r="G411" s="200"/>
      <c r="H411" s="296"/>
    </row>
    <row r="412" spans="1:13" s="260" customFormat="1" ht="12.75" hidden="1" customHeight="1" x14ac:dyDescent="0.2">
      <c r="A412" s="198"/>
      <c r="B412" s="199"/>
      <c r="C412" s="219"/>
      <c r="D412" s="232" t="s">
        <v>258</v>
      </c>
      <c r="E412" s="200"/>
      <c r="F412" s="326"/>
      <c r="G412" s="200"/>
      <c r="H412" s="296"/>
      <c r="I412" s="316"/>
    </row>
    <row r="413" spans="1:13" s="260" customFormat="1" ht="12.75" hidden="1" customHeight="1" x14ac:dyDescent="0.2">
      <c r="A413" s="198"/>
      <c r="B413" s="199"/>
      <c r="C413" s="219"/>
      <c r="D413" s="232" t="s">
        <v>340</v>
      </c>
      <c r="E413" s="200"/>
      <c r="F413" s="326"/>
      <c r="G413" s="200"/>
      <c r="H413" s="296"/>
      <c r="I413" s="318"/>
    </row>
    <row r="414" spans="1:13" s="260" customFormat="1" ht="12.75" hidden="1" customHeight="1" x14ac:dyDescent="0.2">
      <c r="A414" s="198"/>
      <c r="B414" s="199"/>
      <c r="C414" s="219"/>
      <c r="D414" s="232" t="s">
        <v>327</v>
      </c>
      <c r="E414" s="200"/>
      <c r="F414" s="326"/>
      <c r="G414" s="200"/>
      <c r="H414" s="296"/>
    </row>
    <row r="415" spans="1:13" s="260" customFormat="1" ht="12.75" customHeight="1" x14ac:dyDescent="0.2">
      <c r="A415" s="194">
        <f>1+A406</f>
        <v>44</v>
      </c>
      <c r="B415" s="263">
        <v>4102</v>
      </c>
      <c r="C415" s="265" t="s">
        <v>283</v>
      </c>
      <c r="D415" s="493" t="str">
        <f>$D$5</f>
        <v>FTE September 2024</v>
      </c>
      <c r="E415" s="197">
        <v>0</v>
      </c>
      <c r="F415" s="327"/>
      <c r="G415" s="197">
        <f>SUBTOTAL(109,E415:F422)</f>
        <v>0</v>
      </c>
      <c r="H415" s="296"/>
    </row>
    <row r="416" spans="1:13" s="260" customFormat="1" ht="12.75" customHeight="1" x14ac:dyDescent="0.2">
      <c r="A416" s="194"/>
      <c r="B416" s="263"/>
      <c r="C416" s="265"/>
      <c r="D416" s="548" t="s">
        <v>519</v>
      </c>
      <c r="E416" s="197"/>
      <c r="F416" s="327">
        <v>0</v>
      </c>
      <c r="G416" s="197"/>
      <c r="H416" s="296"/>
    </row>
    <row r="417" spans="1:9" s="260" customFormat="1" ht="12.75" hidden="1" customHeight="1" x14ac:dyDescent="0.2">
      <c r="A417" s="194"/>
      <c r="B417" s="195"/>
      <c r="C417" s="218"/>
      <c r="D417" s="340"/>
      <c r="E417" s="435"/>
      <c r="F417" s="327"/>
      <c r="G417" s="197"/>
      <c r="H417" s="296"/>
    </row>
    <row r="418" spans="1:9" s="260" customFormat="1" ht="12.75" hidden="1" customHeight="1" x14ac:dyDescent="0.2">
      <c r="A418" s="194"/>
      <c r="B418" s="263"/>
      <c r="C418" s="265"/>
      <c r="D418" s="231" t="s">
        <v>281</v>
      </c>
      <c r="E418" s="197"/>
      <c r="F418" s="327"/>
      <c r="G418" s="197"/>
      <c r="H418" s="296"/>
      <c r="I418" s="195"/>
    </row>
    <row r="419" spans="1:9" s="260" customFormat="1" ht="12.75" hidden="1" customHeight="1" x14ac:dyDescent="0.2">
      <c r="A419" s="194"/>
      <c r="B419" s="263"/>
      <c r="C419" s="265"/>
      <c r="D419" s="231" t="s">
        <v>280</v>
      </c>
      <c r="E419" s="197"/>
      <c r="F419" s="327"/>
      <c r="G419" s="197"/>
      <c r="H419" s="296"/>
    </row>
    <row r="420" spans="1:9" s="260" customFormat="1" ht="12.75" hidden="1" customHeight="1" x14ac:dyDescent="0.2">
      <c r="A420" s="194"/>
      <c r="B420" s="263"/>
      <c r="C420" s="265"/>
      <c r="D420" s="231" t="s">
        <v>289</v>
      </c>
      <c r="E420" s="197"/>
      <c r="F420" s="327"/>
      <c r="G420" s="197"/>
      <c r="H420" s="296"/>
    </row>
    <row r="421" spans="1:9" s="260" customFormat="1" ht="12.75" hidden="1" customHeight="1" x14ac:dyDescent="0.2">
      <c r="A421" s="194"/>
      <c r="B421" s="195"/>
      <c r="C421" s="218"/>
      <c r="D421" s="231" t="s">
        <v>258</v>
      </c>
      <c r="E421" s="197"/>
      <c r="F421" s="327"/>
      <c r="G421" s="197"/>
      <c r="H421" s="296"/>
    </row>
    <row r="422" spans="1:9" s="260" customFormat="1" ht="12.75" hidden="1" customHeight="1" x14ac:dyDescent="0.2">
      <c r="A422" s="194"/>
      <c r="B422" s="195"/>
      <c r="C422" s="218"/>
      <c r="D422" s="276"/>
      <c r="E422" s="197"/>
      <c r="F422" s="327"/>
      <c r="G422" s="197"/>
      <c r="H422" s="296"/>
    </row>
    <row r="423" spans="1:9" s="260" customFormat="1" ht="12.75" customHeight="1" x14ac:dyDescent="0.2">
      <c r="A423" s="198">
        <f>A415+1</f>
        <v>45</v>
      </c>
      <c r="B423" s="199">
        <v>4103</v>
      </c>
      <c r="C423" s="219" t="s">
        <v>306</v>
      </c>
      <c r="D423" s="277" t="str">
        <f>$D$5</f>
        <v>FTE September 2024</v>
      </c>
      <c r="E423" s="200">
        <f>'4103'!I$145</f>
        <v>706388.95</v>
      </c>
      <c r="F423" s="326"/>
      <c r="G423" s="200">
        <f>SUBTOTAL(109,E423:F432)</f>
        <v>706479.51</v>
      </c>
      <c r="H423" s="296"/>
    </row>
    <row r="424" spans="1:9" s="260" customFormat="1" ht="12.75" customHeight="1" x14ac:dyDescent="0.2">
      <c r="A424" s="198"/>
      <c r="B424" s="199"/>
      <c r="C424" s="219"/>
      <c r="D424" s="313" t="s">
        <v>519</v>
      </c>
      <c r="E424" s="200"/>
      <c r="F424" s="326">
        <v>90.560000000055879</v>
      </c>
      <c r="G424" s="200"/>
      <c r="H424" s="296"/>
    </row>
    <row r="425" spans="1:9" s="260" customFormat="1" ht="12.75" hidden="1" customHeight="1" x14ac:dyDescent="0.2">
      <c r="A425" s="198"/>
      <c r="B425" s="199"/>
      <c r="C425" s="219"/>
      <c r="D425" s="372" t="s">
        <v>473</v>
      </c>
      <c r="E425" s="200"/>
      <c r="F425" s="326"/>
      <c r="G425" s="200"/>
      <c r="H425" s="296"/>
    </row>
    <row r="426" spans="1:9" s="260" customFormat="1" ht="12.75" hidden="1" customHeight="1" x14ac:dyDescent="0.2">
      <c r="A426" s="198"/>
      <c r="B426" s="199"/>
      <c r="C426" s="219"/>
      <c r="D426" s="372" t="s">
        <v>343</v>
      </c>
      <c r="E426" s="200"/>
      <c r="F426" s="326"/>
      <c r="G426" s="200"/>
      <c r="H426" s="296"/>
    </row>
    <row r="427" spans="1:9" s="260" customFormat="1" ht="12.75" hidden="1" customHeight="1" x14ac:dyDescent="0.2">
      <c r="A427" s="198"/>
      <c r="B427" s="199"/>
      <c r="C427" s="219"/>
      <c r="D427" s="232" t="s">
        <v>281</v>
      </c>
      <c r="E427" s="200"/>
      <c r="F427" s="326"/>
      <c r="G427" s="200"/>
      <c r="H427" s="296"/>
      <c r="I427" s="195"/>
    </row>
    <row r="428" spans="1:9" s="260" customFormat="1" ht="12.75" hidden="1" customHeight="1" x14ac:dyDescent="0.2">
      <c r="A428" s="198"/>
      <c r="B428" s="199"/>
      <c r="C428" s="219"/>
      <c r="D428" s="232" t="s">
        <v>280</v>
      </c>
      <c r="E428" s="200"/>
      <c r="F428" s="326"/>
      <c r="G428" s="200"/>
      <c r="H428" s="296"/>
    </row>
    <row r="429" spans="1:9" s="260" customFormat="1" ht="12.75" hidden="1" customHeight="1" x14ac:dyDescent="0.2">
      <c r="A429" s="198"/>
      <c r="B429" s="199"/>
      <c r="C429" s="219"/>
      <c r="D429" s="232" t="s">
        <v>289</v>
      </c>
      <c r="E429" s="200"/>
      <c r="F429" s="326"/>
      <c r="G429" s="200"/>
      <c r="H429" s="296"/>
    </row>
    <row r="430" spans="1:9" s="260" customFormat="1" ht="12.75" hidden="1" customHeight="1" x14ac:dyDescent="0.2">
      <c r="A430" s="198"/>
      <c r="B430" s="199"/>
      <c r="C430" s="219"/>
      <c r="D430" s="232" t="s">
        <v>258</v>
      </c>
      <c r="E430" s="200"/>
      <c r="F430" s="326"/>
      <c r="G430" s="200"/>
      <c r="H430" s="296"/>
      <c r="I430" s="188"/>
    </row>
    <row r="431" spans="1:9" s="260" customFormat="1" ht="12.75" hidden="1" customHeight="1" x14ac:dyDescent="0.2">
      <c r="A431" s="198"/>
      <c r="B431" s="199"/>
      <c r="C431" s="219"/>
      <c r="D431" s="232" t="s">
        <v>340</v>
      </c>
      <c r="E431" s="200"/>
      <c r="F431" s="326"/>
      <c r="G431" s="200"/>
      <c r="H431" s="296"/>
      <c r="I431" s="316"/>
    </row>
    <row r="432" spans="1:9" s="260" customFormat="1" ht="12.75" hidden="1" customHeight="1" x14ac:dyDescent="0.2">
      <c r="A432" s="198"/>
      <c r="B432" s="199"/>
      <c r="C432" s="219"/>
      <c r="D432" s="232" t="s">
        <v>327</v>
      </c>
      <c r="E432" s="200"/>
      <c r="F432" s="326"/>
      <c r="G432" s="200"/>
      <c r="H432" s="296"/>
      <c r="I432" s="316"/>
    </row>
    <row r="433" spans="1:9" s="260" customFormat="1" ht="12.75" customHeight="1" x14ac:dyDescent="0.2">
      <c r="A433" s="194">
        <f>1+A423</f>
        <v>46</v>
      </c>
      <c r="B433" s="263">
        <v>4111</v>
      </c>
      <c r="C433" s="265" t="s">
        <v>324</v>
      </c>
      <c r="D433" s="493" t="str">
        <f>$D$5</f>
        <v>FTE September 2024</v>
      </c>
      <c r="E433" s="197">
        <f>'4111'!I$145</f>
        <v>202891.8</v>
      </c>
      <c r="F433" s="327"/>
      <c r="G433" s="197">
        <f>SUBTOTAL(109,E433:F441)</f>
        <v>202980.83</v>
      </c>
      <c r="H433" s="296"/>
    </row>
    <row r="434" spans="1:9" s="260" customFormat="1" ht="12.75" customHeight="1" x14ac:dyDescent="0.2">
      <c r="A434" s="194"/>
      <c r="B434" s="263"/>
      <c r="C434" s="265"/>
      <c r="D434" s="548" t="s">
        <v>519</v>
      </c>
      <c r="E434" s="197"/>
      <c r="F434" s="327">
        <v>89.03</v>
      </c>
      <c r="G434" s="197"/>
      <c r="H434" s="296"/>
    </row>
    <row r="435" spans="1:9" s="260" customFormat="1" ht="12.75" hidden="1" customHeight="1" x14ac:dyDescent="0.2">
      <c r="A435" s="194"/>
      <c r="B435" s="195"/>
      <c r="C435" s="218"/>
      <c r="D435" s="340" t="s">
        <v>473</v>
      </c>
      <c r="E435" s="197"/>
      <c r="F435" s="327"/>
      <c r="G435" s="197"/>
      <c r="H435" s="296"/>
      <c r="I435" s="195"/>
    </row>
    <row r="436" spans="1:9" s="260" customFormat="1" ht="12.75" hidden="1" customHeight="1" x14ac:dyDescent="0.2">
      <c r="A436" s="194"/>
      <c r="B436" s="263"/>
      <c r="C436" s="265"/>
      <c r="D436" s="231" t="s">
        <v>281</v>
      </c>
      <c r="E436" s="197"/>
      <c r="F436" s="327"/>
      <c r="G436" s="197"/>
      <c r="H436" s="296"/>
      <c r="I436" s="195"/>
    </row>
    <row r="437" spans="1:9" s="260" customFormat="1" ht="12.75" hidden="1" customHeight="1" x14ac:dyDescent="0.2">
      <c r="A437" s="194"/>
      <c r="B437" s="263"/>
      <c r="C437" s="265"/>
      <c r="D437" s="231" t="s">
        <v>280</v>
      </c>
      <c r="E437" s="197"/>
      <c r="F437" s="327"/>
      <c r="G437" s="197"/>
      <c r="H437" s="296"/>
    </row>
    <row r="438" spans="1:9" s="260" customFormat="1" ht="12.75" hidden="1" customHeight="1" x14ac:dyDescent="0.2">
      <c r="A438" s="194"/>
      <c r="B438" s="263"/>
      <c r="C438" s="265"/>
      <c r="D438" s="231" t="s">
        <v>289</v>
      </c>
      <c r="E438" s="197"/>
      <c r="F438" s="327"/>
      <c r="G438" s="197"/>
      <c r="H438" s="296"/>
    </row>
    <row r="439" spans="1:9" s="260" customFormat="1" ht="12.75" hidden="1" customHeight="1" x14ac:dyDescent="0.2">
      <c r="A439" s="194"/>
      <c r="B439" s="195"/>
      <c r="C439" s="218"/>
      <c r="D439" s="231" t="s">
        <v>258</v>
      </c>
      <c r="E439" s="197"/>
      <c r="F439" s="327"/>
      <c r="G439" s="197"/>
      <c r="H439" s="296"/>
    </row>
    <row r="440" spans="1:9" s="260" customFormat="1" hidden="1" x14ac:dyDescent="0.2">
      <c r="A440" s="194"/>
      <c r="B440" s="195"/>
      <c r="C440" s="218"/>
      <c r="D440" s="231" t="s">
        <v>340</v>
      </c>
      <c r="E440" s="197"/>
      <c r="F440" s="327"/>
      <c r="G440" s="197"/>
      <c r="H440" s="296"/>
    </row>
    <row r="441" spans="1:9" s="260" customFormat="1" hidden="1" x14ac:dyDescent="0.2">
      <c r="A441" s="194"/>
      <c r="B441" s="195"/>
      <c r="C441" s="218"/>
      <c r="D441" s="276" t="s">
        <v>327</v>
      </c>
      <c r="E441" s="197"/>
      <c r="F441" s="327"/>
      <c r="G441" s="197"/>
      <c r="H441" s="296"/>
    </row>
    <row r="442" spans="1:9" s="260" customFormat="1" ht="12.75" customHeight="1" x14ac:dyDescent="0.2">
      <c r="A442" s="198">
        <f>1+A433</f>
        <v>47</v>
      </c>
      <c r="B442" s="378">
        <v>4131</v>
      </c>
      <c r="C442" s="379" t="s">
        <v>356</v>
      </c>
      <c r="D442" s="277" t="str">
        <f>$D$5</f>
        <v>FTE September 2024</v>
      </c>
      <c r="E442" s="200">
        <f>'4131'!I$145</f>
        <v>44489.32</v>
      </c>
      <c r="F442" s="326"/>
      <c r="G442" s="200">
        <f>SUBTOTAL(109,E442:F450)</f>
        <v>44513.81</v>
      </c>
      <c r="H442" s="296"/>
    </row>
    <row r="443" spans="1:9" s="260" customFormat="1" ht="12.75" customHeight="1" x14ac:dyDescent="0.2">
      <c r="A443" s="198"/>
      <c r="B443" s="378"/>
      <c r="C443" s="379"/>
      <c r="D443" s="313" t="s">
        <v>519</v>
      </c>
      <c r="E443" s="200"/>
      <c r="F443" s="326">
        <v>24.49</v>
      </c>
      <c r="G443" s="200"/>
      <c r="H443" s="296"/>
    </row>
    <row r="444" spans="1:9" s="260" customFormat="1" ht="12.75" hidden="1" customHeight="1" x14ac:dyDescent="0.2">
      <c r="A444" s="198"/>
      <c r="B444" s="199"/>
      <c r="C444" s="219"/>
      <c r="D444" s="372" t="s">
        <v>344</v>
      </c>
      <c r="E444" s="200"/>
      <c r="F444" s="326"/>
      <c r="G444" s="200"/>
      <c r="H444" s="296"/>
    </row>
    <row r="445" spans="1:9" s="260" customFormat="1" ht="12.75" hidden="1" customHeight="1" x14ac:dyDescent="0.2">
      <c r="A445" s="198"/>
      <c r="B445" s="378"/>
      <c r="C445" s="379"/>
      <c r="D445" s="232" t="s">
        <v>281</v>
      </c>
      <c r="E445" s="200"/>
      <c r="F445" s="326"/>
      <c r="G445" s="200"/>
      <c r="H445" s="296"/>
      <c r="I445" s="195"/>
    </row>
    <row r="446" spans="1:9" s="260" customFormat="1" ht="12.75" hidden="1" customHeight="1" x14ac:dyDescent="0.2">
      <c r="A446" s="198"/>
      <c r="B446" s="378"/>
      <c r="C446" s="379"/>
      <c r="D446" s="232" t="s">
        <v>280</v>
      </c>
      <c r="E446" s="200"/>
      <c r="F446" s="326"/>
      <c r="G446" s="200"/>
      <c r="H446" s="296"/>
    </row>
    <row r="447" spans="1:9" s="260" customFormat="1" ht="12.75" hidden="1" customHeight="1" x14ac:dyDescent="0.2">
      <c r="A447" s="198"/>
      <c r="B447" s="378"/>
      <c r="C447" s="379"/>
      <c r="D447" s="232" t="s">
        <v>289</v>
      </c>
      <c r="E447" s="200"/>
      <c r="F447" s="326"/>
      <c r="G447" s="200"/>
      <c r="H447" s="296"/>
    </row>
    <row r="448" spans="1:9" s="260" customFormat="1" ht="12.75" hidden="1" customHeight="1" x14ac:dyDescent="0.2">
      <c r="A448" s="198"/>
      <c r="B448" s="199"/>
      <c r="C448" s="219"/>
      <c r="D448" s="232" t="s">
        <v>258</v>
      </c>
      <c r="E448" s="200"/>
      <c r="F448" s="326"/>
      <c r="G448" s="200"/>
      <c r="H448" s="296"/>
      <c r="I448" s="188"/>
    </row>
    <row r="449" spans="1:9" s="260" customFormat="1" ht="12.75" hidden="1" customHeight="1" x14ac:dyDescent="0.2">
      <c r="A449" s="198"/>
      <c r="B449" s="199"/>
      <c r="C449" s="219"/>
      <c r="D449" s="232" t="s">
        <v>340</v>
      </c>
      <c r="E449" s="200"/>
      <c r="F449" s="326"/>
      <c r="G449" s="200"/>
      <c r="H449" s="296"/>
      <c r="I449" s="316"/>
    </row>
    <row r="450" spans="1:9" s="260" customFormat="1" ht="12.75" hidden="1" customHeight="1" x14ac:dyDescent="0.2">
      <c r="A450" s="198"/>
      <c r="B450" s="199"/>
      <c r="C450" s="219"/>
      <c r="D450" s="278" t="s">
        <v>327</v>
      </c>
      <c r="E450" s="200"/>
      <c r="F450" s="326"/>
      <c r="G450" s="200"/>
      <c r="H450" s="296"/>
      <c r="I450" s="318"/>
    </row>
    <row r="451" spans="1:9" s="260" customFormat="1" ht="12.75" customHeight="1" x14ac:dyDescent="0.2">
      <c r="A451" s="191"/>
      <c r="B451" s="188"/>
      <c r="C451" s="188"/>
      <c r="D451" s="280"/>
      <c r="E451" s="188"/>
      <c r="F451" s="328"/>
      <c r="G451" s="188"/>
      <c r="H451" s="296"/>
      <c r="I451" s="316"/>
    </row>
    <row r="452" spans="1:9" s="260" customFormat="1" ht="12.75" customHeight="1" thickBot="1" x14ac:dyDescent="0.25">
      <c r="A452" s="188"/>
      <c r="B452" s="190"/>
      <c r="C452" s="217"/>
      <c r="D452" s="280" t="s">
        <v>185</v>
      </c>
      <c r="E452" s="202">
        <f>SUBTOTAL(109,E5:E451)</f>
        <v>17074744.390000001</v>
      </c>
      <c r="F452" s="202">
        <f>SUBTOTAL(109,F5:F451)</f>
        <v>-95400.359999999928</v>
      </c>
      <c r="G452" s="202">
        <f>ROUND(SUM(G5:G451),2)</f>
        <v>16979344.030000001</v>
      </c>
      <c r="H452" s="296"/>
    </row>
    <row r="453" spans="1:9" s="260" customFormat="1" ht="12.75" customHeight="1" thickTop="1" x14ac:dyDescent="0.2">
      <c r="A453" s="188"/>
      <c r="B453" s="190"/>
      <c r="C453" s="217"/>
      <c r="D453" s="188"/>
      <c r="E453" s="188"/>
      <c r="F453" s="238"/>
      <c r="G453" s="201">
        <f>ROUND(G452-E452-F452,2)</f>
        <v>0</v>
      </c>
      <c r="H453" s="296"/>
    </row>
    <row r="454" spans="1:9" s="260" customFormat="1" ht="12.75" customHeight="1" x14ac:dyDescent="0.2">
      <c r="A454" s="188"/>
      <c r="B454" s="190"/>
      <c r="C454" s="217"/>
      <c r="D454" s="188"/>
      <c r="E454" s="188"/>
      <c r="F454" s="238"/>
      <c r="G454" s="188"/>
      <c r="H454" s="296"/>
      <c r="I454" s="195"/>
    </row>
    <row r="455" spans="1:9" s="260" customFormat="1" ht="12.75" customHeight="1" x14ac:dyDescent="0.2">
      <c r="A455" s="188"/>
      <c r="B455" s="190"/>
      <c r="C455" s="217"/>
      <c r="D455" s="188"/>
      <c r="E455" s="188"/>
      <c r="F455" s="238"/>
      <c r="G455" s="188"/>
      <c r="H455" s="296"/>
    </row>
    <row r="456" spans="1:9" s="260" customFormat="1" ht="12.75" customHeight="1" x14ac:dyDescent="0.2">
      <c r="A456" s="188"/>
      <c r="B456" s="190"/>
      <c r="C456" s="217"/>
      <c r="D456" s="188"/>
      <c r="E456" s="188"/>
      <c r="F456" s="238"/>
      <c r="G456" s="188"/>
      <c r="H456" s="296"/>
    </row>
    <row r="457" spans="1:9" s="260" customFormat="1" ht="12.75" customHeight="1" x14ac:dyDescent="0.2">
      <c r="A457" s="188"/>
      <c r="B457" s="190"/>
      <c r="C457" s="217"/>
      <c r="D457" s="188"/>
      <c r="E457" s="188"/>
      <c r="F457" s="238"/>
      <c r="G457" s="188"/>
      <c r="H457" s="296"/>
      <c r="I457" s="188"/>
    </row>
    <row r="458" spans="1:9" s="260" customFormat="1" ht="12.75" customHeight="1" x14ac:dyDescent="0.2">
      <c r="A458" s="188"/>
      <c r="B458" s="190"/>
      <c r="C458" s="217"/>
      <c r="D458" s="188"/>
      <c r="E458" s="188"/>
      <c r="F458" s="238"/>
      <c r="G458" s="188"/>
      <c r="H458" s="296"/>
      <c r="I458" s="316"/>
    </row>
    <row r="459" spans="1:9" s="260" customFormat="1" ht="12.75" customHeight="1" x14ac:dyDescent="0.2">
      <c r="A459" s="269"/>
      <c r="B459" s="190"/>
      <c r="C459" s="241"/>
      <c r="D459" s="269" t="s">
        <v>255</v>
      </c>
      <c r="E459" s="201">
        <f>Consolidated!I143</f>
        <v>17074744.390000001</v>
      </c>
      <c r="F459" s="238"/>
      <c r="G459" s="201">
        <f>E459+F459</f>
        <v>17074744.390000001</v>
      </c>
      <c r="H459" s="296"/>
      <c r="I459" s="318"/>
    </row>
    <row r="460" spans="1:9" s="260" customFormat="1" ht="12.75" hidden="1" customHeight="1" x14ac:dyDescent="0.2">
      <c r="A460" s="188"/>
      <c r="B460" s="188"/>
      <c r="C460" s="188"/>
      <c r="D460" s="196" t="s">
        <v>279</v>
      </c>
      <c r="E460" s="188"/>
      <c r="F460" s="259">
        <f>SUM(SUMIF(D$5:D$451,D460,F$5:F$451))</f>
        <v>0</v>
      </c>
      <c r="G460" s="201">
        <f t="shared" ref="G460:G464" si="0">E460+F460</f>
        <v>0</v>
      </c>
      <c r="H460" s="296"/>
      <c r="I460" s="504"/>
    </row>
    <row r="461" spans="1:9" ht="12.75" hidden="1" customHeight="1" x14ac:dyDescent="0.2">
      <c r="D461" s="500" t="s">
        <v>473</v>
      </c>
      <c r="F461" s="259">
        <f t="shared" ref="F461:F478" si="1">SUM(SUMIF(D$5:D$451,D461,F$5:F$451))</f>
        <v>0</v>
      </c>
      <c r="G461" s="201">
        <f t="shared" si="0"/>
        <v>0</v>
      </c>
      <c r="H461" s="297"/>
    </row>
    <row r="462" spans="1:9" ht="12.75" hidden="1" customHeight="1" x14ac:dyDescent="0.2">
      <c r="D462" s="196" t="s">
        <v>345</v>
      </c>
      <c r="F462" s="259">
        <f t="shared" si="1"/>
        <v>0</v>
      </c>
      <c r="G462" s="201">
        <f t="shared" si="0"/>
        <v>0</v>
      </c>
    </row>
    <row r="463" spans="1:9" ht="12.75" hidden="1" customHeight="1" x14ac:dyDescent="0.2">
      <c r="D463" s="196" t="s">
        <v>346</v>
      </c>
      <c r="F463" s="259">
        <f t="shared" si="1"/>
        <v>0</v>
      </c>
      <c r="G463" s="201">
        <f t="shared" si="0"/>
        <v>0</v>
      </c>
    </row>
    <row r="464" spans="1:9" ht="12.75" hidden="1" customHeight="1" x14ac:dyDescent="0.2">
      <c r="D464" s="371" t="s">
        <v>343</v>
      </c>
      <c r="F464" s="259">
        <f t="shared" si="1"/>
        <v>0</v>
      </c>
      <c r="G464" s="201">
        <f t="shared" si="0"/>
        <v>0</v>
      </c>
    </row>
    <row r="465" spans="1:10" ht="12.75" hidden="1" customHeight="1" x14ac:dyDescent="0.2">
      <c r="D465" s="196" t="s">
        <v>281</v>
      </c>
      <c r="F465" s="259">
        <f t="shared" si="1"/>
        <v>0</v>
      </c>
      <c r="G465" s="201">
        <f t="shared" ref="G465:G470" si="2">E465+F465</f>
        <v>0</v>
      </c>
    </row>
    <row r="466" spans="1:10" ht="12.75" hidden="1" customHeight="1" x14ac:dyDescent="0.2">
      <c r="D466" s="196" t="s">
        <v>336</v>
      </c>
      <c r="F466" s="259">
        <f t="shared" si="1"/>
        <v>0</v>
      </c>
      <c r="G466" s="201">
        <f t="shared" si="2"/>
        <v>0</v>
      </c>
    </row>
    <row r="467" spans="1:10" ht="12.75" hidden="1" customHeight="1" x14ac:dyDescent="0.2">
      <c r="D467" s="188" t="s">
        <v>289</v>
      </c>
      <c r="F467" s="259">
        <f t="shared" si="1"/>
        <v>0</v>
      </c>
      <c r="G467" s="201">
        <f t="shared" si="2"/>
        <v>0</v>
      </c>
    </row>
    <row r="468" spans="1:10" ht="12.75" hidden="1" customHeight="1" x14ac:dyDescent="0.2">
      <c r="A468" s="194"/>
      <c r="B468" s="195"/>
      <c r="C468" s="218"/>
      <c r="D468" s="196" t="s">
        <v>258</v>
      </c>
      <c r="E468" s="197"/>
      <c r="F468" s="259">
        <f t="shared" si="1"/>
        <v>0</v>
      </c>
      <c r="G468" s="201">
        <f t="shared" si="2"/>
        <v>0</v>
      </c>
    </row>
    <row r="469" spans="1:10" ht="12.75" hidden="1" customHeight="1" x14ac:dyDescent="0.2">
      <c r="D469" s="312" t="s">
        <v>298</v>
      </c>
      <c r="F469" s="259">
        <f t="shared" si="1"/>
        <v>0</v>
      </c>
      <c r="G469" s="201">
        <f t="shared" si="2"/>
        <v>0</v>
      </c>
      <c r="J469" s="201"/>
    </row>
    <row r="470" spans="1:10" ht="12.75" customHeight="1" x14ac:dyDescent="0.2">
      <c r="D470" s="312" t="s">
        <v>285</v>
      </c>
      <c r="F470" s="259">
        <f>SUM(SUMIF(D$5:D$451,D470,F$5:F$451))</f>
        <v>-69513.88</v>
      </c>
      <c r="G470" s="201">
        <f t="shared" si="2"/>
        <v>-69513.88</v>
      </c>
      <c r="J470" s="201"/>
    </row>
    <row r="471" spans="1:10" ht="12.75" customHeight="1" x14ac:dyDescent="0.2">
      <c r="D471" s="188" t="s">
        <v>230</v>
      </c>
      <c r="F471" s="259">
        <f t="shared" si="1"/>
        <v>-22600</v>
      </c>
      <c r="G471" s="201">
        <f t="shared" ref="G471:G480" si="3">E471+F471</f>
        <v>-22600</v>
      </c>
      <c r="J471" s="201"/>
    </row>
    <row r="472" spans="1:10" ht="12.75" customHeight="1" x14ac:dyDescent="0.2">
      <c r="D472" s="188" t="s">
        <v>231</v>
      </c>
      <c r="F472" s="259">
        <f>SUM(SUMIF(D$5:D$451,D472,F$5:F$451))</f>
        <v>-421.76</v>
      </c>
      <c r="G472" s="201">
        <f t="shared" si="3"/>
        <v>-421.76</v>
      </c>
      <c r="J472" s="201"/>
    </row>
    <row r="473" spans="1:10" ht="12.75" customHeight="1" x14ac:dyDescent="0.2">
      <c r="D473" s="241" t="s">
        <v>434</v>
      </c>
      <c r="F473" s="259">
        <f t="shared" si="1"/>
        <v>-188.96</v>
      </c>
      <c r="G473" s="201">
        <f t="shared" si="3"/>
        <v>-188.96</v>
      </c>
      <c r="J473" s="201"/>
    </row>
    <row r="474" spans="1:10" ht="12.75" customHeight="1" x14ac:dyDescent="0.2">
      <c r="D474" s="188" t="s">
        <v>319</v>
      </c>
      <c r="F474" s="259">
        <f t="shared" si="1"/>
        <v>-180</v>
      </c>
      <c r="G474" s="201">
        <f t="shared" si="3"/>
        <v>-180</v>
      </c>
      <c r="J474" s="201"/>
    </row>
    <row r="475" spans="1:10" ht="12.75" hidden="1" customHeight="1" x14ac:dyDescent="0.2">
      <c r="A475" s="194"/>
      <c r="B475" s="195"/>
      <c r="C475" s="218"/>
      <c r="D475" s="196" t="s">
        <v>296</v>
      </c>
      <c r="E475" s="197"/>
      <c r="F475" s="259">
        <f t="shared" si="1"/>
        <v>0</v>
      </c>
      <c r="G475" s="201">
        <f t="shared" si="3"/>
        <v>0</v>
      </c>
    </row>
    <row r="476" spans="1:10" ht="12.75" hidden="1" customHeight="1" x14ac:dyDescent="0.2">
      <c r="D476" s="241" t="s">
        <v>339</v>
      </c>
      <c r="F476" s="259">
        <f t="shared" si="1"/>
        <v>0</v>
      </c>
      <c r="G476" s="201">
        <f t="shared" si="3"/>
        <v>0</v>
      </c>
    </row>
    <row r="477" spans="1:10" ht="12.75" customHeight="1" x14ac:dyDescent="0.2">
      <c r="D477" s="241" t="s">
        <v>338</v>
      </c>
      <c r="F477" s="259">
        <f t="shared" si="1"/>
        <v>0</v>
      </c>
      <c r="G477" s="201">
        <f t="shared" si="3"/>
        <v>0</v>
      </c>
    </row>
    <row r="478" spans="1:10" s="260" customFormat="1" ht="12.75" hidden="1" customHeight="1" x14ac:dyDescent="0.2">
      <c r="A478" s="188"/>
      <c r="B478" s="188"/>
      <c r="C478" s="188"/>
      <c r="D478" s="241" t="s">
        <v>340</v>
      </c>
      <c r="E478" s="188"/>
      <c r="F478" s="259">
        <f t="shared" si="1"/>
        <v>0</v>
      </c>
      <c r="G478" s="201">
        <f t="shared" si="3"/>
        <v>0</v>
      </c>
      <c r="H478" s="296"/>
      <c r="I478" s="316"/>
    </row>
    <row r="479" spans="1:10" ht="12.75" customHeight="1" x14ac:dyDescent="0.2">
      <c r="D479" s="196" t="s">
        <v>505</v>
      </c>
      <c r="F479" s="329">
        <f>SUM(SUMIF(D$5:D$451,"*WPB*",F$5:F$451))</f>
        <v>-5343.4800000000005</v>
      </c>
      <c r="G479" s="201">
        <f t="shared" si="3"/>
        <v>-5343.4800000000005</v>
      </c>
    </row>
    <row r="480" spans="1:10" ht="12.75" customHeight="1" x14ac:dyDescent="0.2">
      <c r="D480" s="196" t="s">
        <v>519</v>
      </c>
      <c r="F480" s="329">
        <f>SUM(SUMIF(D$5:D$451,"*FEFP ADJ*",F$5:F$451))</f>
        <v>2847.7200000000639</v>
      </c>
      <c r="G480" s="201">
        <f t="shared" si="3"/>
        <v>2847.7200000000639</v>
      </c>
    </row>
    <row r="481" spans="1:9" ht="12.75" customHeight="1" x14ac:dyDescent="0.2">
      <c r="D481" s="196"/>
      <c r="F481" s="329"/>
      <c r="G481" s="201"/>
    </row>
    <row r="482" spans="1:9" ht="12.75" customHeight="1" thickBot="1" x14ac:dyDescent="0.25">
      <c r="D482" s="283" t="s">
        <v>250</v>
      </c>
      <c r="E482" s="202">
        <f>SUM(E459:E480)</f>
        <v>17074744.390000001</v>
      </c>
      <c r="F482" s="202">
        <f>SUM(F459:F480)</f>
        <v>-95400.359999999942</v>
      </c>
      <c r="G482" s="202">
        <f>SUM(G459:G481)</f>
        <v>16979344.029999997</v>
      </c>
    </row>
    <row r="483" spans="1:9" ht="12.75" customHeight="1" thickTop="1" x14ac:dyDescent="0.2">
      <c r="D483" s="283"/>
      <c r="E483" s="501"/>
      <c r="F483" s="501"/>
      <c r="G483" s="501"/>
    </row>
    <row r="484" spans="1:9" ht="12.75" customHeight="1" x14ac:dyDescent="0.2">
      <c r="D484" s="283"/>
      <c r="E484" s="501"/>
      <c r="F484" s="501"/>
      <c r="G484" s="501">
        <f>G452-G482</f>
        <v>0</v>
      </c>
    </row>
    <row r="485" spans="1:9" ht="12" customHeight="1" x14ac:dyDescent="0.2">
      <c r="D485" s="283"/>
      <c r="E485" s="501"/>
      <c r="F485" s="501"/>
      <c r="G485" s="501"/>
    </row>
    <row r="486" spans="1:9" ht="12.75" customHeight="1" thickBot="1" x14ac:dyDescent="0.25">
      <c r="E486" s="201"/>
      <c r="F486" s="201"/>
      <c r="G486" s="201"/>
    </row>
    <row r="487" spans="1:9" ht="12.75" customHeight="1" thickBot="1" x14ac:dyDescent="0.25">
      <c r="C487" s="565" t="s">
        <v>278</v>
      </c>
      <c r="D487" s="566"/>
      <c r="E487" s="566"/>
      <c r="F487" s="566"/>
      <c r="G487" s="567"/>
    </row>
    <row r="488" spans="1:9" s="260" customFormat="1" ht="12.75" customHeight="1" x14ac:dyDescent="0.2">
      <c r="A488" s="188"/>
      <c r="B488" s="188"/>
      <c r="C488" s="368"/>
      <c r="D488" s="369"/>
      <c r="E488" s="369"/>
      <c r="F488" s="495"/>
      <c r="G488" s="496"/>
      <c r="H488" s="296"/>
      <c r="I488" s="188"/>
    </row>
    <row r="489" spans="1:9" ht="12.75" customHeight="1" x14ac:dyDescent="0.2">
      <c r="C489" s="437" t="s">
        <v>523</v>
      </c>
      <c r="D489" s="517"/>
      <c r="E489" s="517"/>
      <c r="F489" s="495"/>
      <c r="G489" s="497"/>
    </row>
    <row r="490" spans="1:9" ht="12.75" customHeight="1" x14ac:dyDescent="0.2">
      <c r="C490" s="381" t="s">
        <v>524</v>
      </c>
      <c r="D490" s="517"/>
      <c r="E490" s="517"/>
      <c r="F490" s="495"/>
      <c r="G490" s="497"/>
    </row>
    <row r="491" spans="1:9" ht="12.75" customHeight="1" x14ac:dyDescent="0.2">
      <c r="C491" s="381" t="s">
        <v>504</v>
      </c>
      <c r="D491" s="369"/>
      <c r="E491" s="369"/>
      <c r="F491" s="495"/>
      <c r="G491" s="497"/>
    </row>
    <row r="492" spans="1:9" ht="12.75" customHeight="1" x14ac:dyDescent="0.2">
      <c r="C492" s="381"/>
      <c r="D492" s="369"/>
      <c r="E492" s="369"/>
      <c r="F492" s="495"/>
      <c r="G492" s="497"/>
    </row>
    <row r="493" spans="1:9" ht="12.75" customHeight="1" x14ac:dyDescent="0.2">
      <c r="C493" s="437"/>
      <c r="D493" s="502"/>
      <c r="E493" s="502"/>
      <c r="F493" s="502"/>
      <c r="G493" s="503"/>
      <c r="H493" s="307"/>
      <c r="I493" s="260"/>
    </row>
    <row r="494" spans="1:9" ht="12.75" customHeight="1" x14ac:dyDescent="0.2">
      <c r="C494" s="563" t="s">
        <v>525</v>
      </c>
      <c r="D494" s="561"/>
      <c r="E494" s="561"/>
      <c r="F494" s="561"/>
      <c r="G494" s="562"/>
      <c r="H494" s="307"/>
      <c r="I494" s="260"/>
    </row>
    <row r="495" spans="1:9" ht="12.75" customHeight="1" x14ac:dyDescent="0.2">
      <c r="C495" s="560" t="s">
        <v>526</v>
      </c>
      <c r="D495" s="561"/>
      <c r="E495" s="561"/>
      <c r="F495" s="561"/>
      <c r="G495" s="562"/>
      <c r="H495" s="307"/>
      <c r="I495" s="260"/>
    </row>
    <row r="496" spans="1:9" ht="12.75" customHeight="1" x14ac:dyDescent="0.2">
      <c r="C496" s="381"/>
      <c r="D496" s="502"/>
      <c r="E496" s="502"/>
      <c r="F496" s="502"/>
      <c r="G496" s="503"/>
      <c r="H496" s="307"/>
      <c r="I496" s="260"/>
    </row>
    <row r="497" spans="3:9" ht="12.75" customHeight="1" x14ac:dyDescent="0.2">
      <c r="C497" s="368" t="s">
        <v>528</v>
      </c>
      <c r="D497" s="502"/>
      <c r="E497" s="502"/>
      <c r="F497" s="502"/>
      <c r="G497" s="503"/>
      <c r="H497" s="307"/>
      <c r="I497" s="260"/>
    </row>
    <row r="498" spans="3:9" ht="12.75" customHeight="1" x14ac:dyDescent="0.2">
      <c r="C498" s="381" t="s">
        <v>527</v>
      </c>
      <c r="D498" s="502"/>
      <c r="E498" s="502"/>
      <c r="F498" s="502"/>
      <c r="G498" s="503"/>
      <c r="H498" s="307"/>
      <c r="I498" s="260"/>
    </row>
    <row r="499" spans="3:9" ht="12.75" customHeight="1" x14ac:dyDescent="0.2">
      <c r="C499" s="381" t="s">
        <v>529</v>
      </c>
      <c r="D499" s="502"/>
      <c r="E499" s="502"/>
      <c r="F499" s="502"/>
      <c r="G499" s="503"/>
      <c r="H499" s="307"/>
      <c r="I499" s="260"/>
    </row>
    <row r="500" spans="3:9" ht="12.75" customHeight="1" x14ac:dyDescent="0.2">
      <c r="C500" s="381"/>
      <c r="D500" s="502"/>
      <c r="E500" s="502"/>
      <c r="F500" s="502"/>
      <c r="G500" s="503"/>
      <c r="H500" s="307"/>
      <c r="I500" s="260"/>
    </row>
    <row r="501" spans="3:9" ht="12.75" customHeight="1" x14ac:dyDescent="0.2">
      <c r="C501" s="368" t="s">
        <v>530</v>
      </c>
      <c r="D501" s="502"/>
      <c r="E501" s="502"/>
      <c r="F501" s="502"/>
      <c r="G501" s="503"/>
      <c r="H501" s="307"/>
      <c r="I501" s="260"/>
    </row>
    <row r="502" spans="3:9" ht="12.75" customHeight="1" x14ac:dyDescent="0.2">
      <c r="C502" s="381"/>
      <c r="D502" s="502"/>
      <c r="E502" s="502"/>
      <c r="F502" s="502"/>
      <c r="G502" s="503"/>
      <c r="H502" s="307"/>
      <c r="I502" s="260"/>
    </row>
    <row r="503" spans="3:9" ht="12.75" customHeight="1" x14ac:dyDescent="0.2">
      <c r="C503" s="381"/>
      <c r="D503" s="502"/>
      <c r="E503" s="502"/>
      <c r="F503" s="502"/>
      <c r="G503" s="503"/>
      <c r="H503" s="307"/>
      <c r="I503" s="260"/>
    </row>
    <row r="504" spans="3:9" ht="12.75" customHeight="1" thickBot="1" x14ac:dyDescent="0.25">
      <c r="C504" s="380"/>
      <c r="D504" s="370"/>
      <c r="E504" s="370"/>
      <c r="F504" s="370"/>
      <c r="G504" s="498"/>
      <c r="H504" s="307"/>
      <c r="I504" s="260"/>
    </row>
    <row r="505" spans="3:9" ht="12.75" customHeight="1" x14ac:dyDescent="0.2">
      <c r="H505" s="307"/>
      <c r="I505" s="260"/>
    </row>
    <row r="506" spans="3:9" ht="12.75" customHeight="1" x14ac:dyDescent="0.2">
      <c r="H506" s="307"/>
      <c r="I506" s="260"/>
    </row>
    <row r="507" spans="3:9" ht="12.75" customHeight="1" x14ac:dyDescent="0.2">
      <c r="H507" s="307"/>
      <c r="I507" s="260"/>
    </row>
    <row r="508" spans="3:9" ht="12.75" customHeight="1" x14ac:dyDescent="0.2">
      <c r="H508" s="307"/>
      <c r="I508" s="260"/>
    </row>
    <row r="509" spans="3:9" ht="12.75" customHeight="1" x14ac:dyDescent="0.2">
      <c r="H509" s="307"/>
      <c r="I509" s="260"/>
    </row>
    <row r="510" spans="3:9" ht="12.75" customHeight="1" x14ac:dyDescent="0.2">
      <c r="H510" s="307"/>
      <c r="I510" s="260"/>
    </row>
    <row r="511" spans="3:9" ht="12.75" customHeight="1" x14ac:dyDescent="0.2">
      <c r="H511" s="307"/>
      <c r="I511" s="260"/>
    </row>
    <row r="512" spans="3:9" ht="12.75" customHeight="1" x14ac:dyDescent="0.2">
      <c r="H512" s="307"/>
      <c r="I512" s="260"/>
    </row>
    <row r="513" spans="5:11" ht="12.75" customHeight="1" x14ac:dyDescent="0.2">
      <c r="H513" s="307"/>
      <c r="I513" s="260"/>
    </row>
    <row r="514" spans="5:11" ht="12.75" customHeight="1" x14ac:dyDescent="0.2">
      <c r="H514" s="251"/>
    </row>
    <row r="515" spans="5:11" ht="12.75" customHeight="1" x14ac:dyDescent="0.2">
      <c r="E515" s="295"/>
      <c r="F515" s="188"/>
    </row>
    <row r="516" spans="5:11" ht="12.75" customHeight="1" x14ac:dyDescent="0.2">
      <c r="E516" s="295"/>
      <c r="F516" s="188"/>
    </row>
    <row r="518" spans="5:11" ht="12.75" customHeight="1" x14ac:dyDescent="0.2">
      <c r="K518" s="295"/>
    </row>
    <row r="519" spans="5:11" ht="12.75" customHeight="1" x14ac:dyDescent="0.2">
      <c r="K519" s="295"/>
    </row>
    <row r="525" spans="5:11" ht="12.75" customHeight="1" x14ac:dyDescent="0.2">
      <c r="H525" s="188"/>
    </row>
    <row r="526" spans="5:11" ht="12.75" customHeight="1" x14ac:dyDescent="0.2">
      <c r="H526" s="188"/>
    </row>
  </sheetData>
  <mergeCells count="2">
    <mergeCell ref="F3:G3"/>
    <mergeCell ref="C487:G487"/>
  </mergeCells>
  <conditionalFormatting sqref="A5:A451">
    <cfRule type="cellIs" dxfId="8" priority="1" operator="equal">
      <formula>0</formula>
    </cfRule>
  </conditionalFormatting>
  <conditionalFormatting sqref="A468">
    <cfRule type="cellIs" dxfId="7" priority="178" operator="equal">
      <formula>0</formula>
    </cfRule>
  </conditionalFormatting>
  <conditionalFormatting sqref="A475">
    <cfRule type="cellIs" dxfId="6" priority="307" operator="equal">
      <formula>0</formula>
    </cfRule>
  </conditionalFormatting>
  <conditionalFormatting sqref="H470:H477 H479:H487">
    <cfRule type="cellIs" dxfId="5" priority="301" stopIfTrue="1" operator="notEqual">
      <formula>0</formula>
    </cfRule>
    <cfRule type="cellIs" dxfId="4" priority="302" stopIfTrue="1" operator="equal">
      <formula>0</formula>
    </cfRule>
  </conditionalFormatting>
  <conditionalFormatting sqref="H489:H491">
    <cfRule type="cellIs" dxfId="3" priority="299" stopIfTrue="1" operator="notEqual">
      <formula>0</formula>
    </cfRule>
    <cfRule type="cellIs" dxfId="2" priority="300" stopIfTrue="1" operator="equal">
      <formula>0</formula>
    </cfRule>
  </conditionalFormatting>
  <pageMargins left="1" right="0.1" top="0.5" bottom="0.5" header="0" footer="0.1"/>
  <pageSetup fitToHeight="0" orientation="landscape" r:id="rId1"/>
  <headerFooter>
    <oddFooter>&amp;L&amp;8&amp;Z&amp;F&amp;R&amp;8&amp;P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364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133.43</v>
      </c>
      <c r="D14" s="141">
        <v>129.69999999999999</v>
      </c>
      <c r="E14" s="187">
        <f>IF(D$30=0,C14*2,C14+D14)</f>
        <v>263.13</v>
      </c>
      <c r="F14" s="682">
        <f>'1461'!F14:G14</f>
        <v>1.1180000000000001</v>
      </c>
      <c r="G14" s="682"/>
      <c r="H14" s="145">
        <f>ROUND(E14*F14,4)</f>
        <v>294.17930000000001</v>
      </c>
      <c r="I14" s="111">
        <f>ROUND(ROUND(ROUND(H14*$C$8,4)*($H$8),2)*(MAX($H$9,1)),2)</f>
        <v>1632249.13</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20.5</v>
      </c>
      <c r="D15" s="143">
        <v>23.01</v>
      </c>
      <c r="E15" s="116">
        <f t="shared" ref="E15:E29" si="1">IF(D$30=0,C15*2,C15+D15)</f>
        <v>43.510000000000005</v>
      </c>
      <c r="F15" s="678">
        <f>'1461'!F15:G15</f>
        <v>1.1180000000000001</v>
      </c>
      <c r="G15" s="678"/>
      <c r="H15" s="80">
        <f t="shared" ref="H15:H29" si="2">ROUND(E15*F15,4)</f>
        <v>48.644199999999998</v>
      </c>
      <c r="I15" s="101">
        <f t="shared" ref="I15:I29" si="3">ROUND(ROUND(ROUND(H15*$C$8,4)*($H$8),2)*(MAX($H$9,1)),2)</f>
        <v>269901.56</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58.46</v>
      </c>
      <c r="D16" s="143">
        <v>57.07</v>
      </c>
      <c r="E16" s="116">
        <f t="shared" si="1"/>
        <v>115.53</v>
      </c>
      <c r="F16" s="678">
        <f>'1461'!F16:G16</f>
        <v>1</v>
      </c>
      <c r="G16" s="678"/>
      <c r="H16" s="80">
        <f t="shared" si="2"/>
        <v>115.53</v>
      </c>
      <c r="I16" s="101">
        <f t="shared" si="3"/>
        <v>641016.35</v>
      </c>
      <c r="N16" s="616" t="s">
        <v>22</v>
      </c>
      <c r="O16" s="616"/>
      <c r="P16" s="657">
        <f t="shared" si="0"/>
        <v>0</v>
      </c>
      <c r="Q16" s="657"/>
      <c r="R16" s="662">
        <v>1</v>
      </c>
      <c r="S16" s="662"/>
      <c r="T16" s="95">
        <f t="shared" si="4"/>
        <v>0</v>
      </c>
      <c r="U16" s="472">
        <f t="shared" si="5"/>
        <v>0</v>
      </c>
    </row>
    <row r="17" spans="1:21" x14ac:dyDescent="0.25">
      <c r="A17" s="593" t="s">
        <v>23</v>
      </c>
      <c r="B17" s="593"/>
      <c r="C17" s="143">
        <v>20</v>
      </c>
      <c r="D17" s="143">
        <v>18.989999999999998</v>
      </c>
      <c r="E17" s="116">
        <f t="shared" si="1"/>
        <v>38.989999999999995</v>
      </c>
      <c r="F17" s="678">
        <f>'1461'!F17:G17</f>
        <v>1</v>
      </c>
      <c r="G17" s="678"/>
      <c r="H17" s="80">
        <f t="shared" si="2"/>
        <v>38.99</v>
      </c>
      <c r="I17" s="101">
        <f t="shared" si="3"/>
        <v>216335.39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50.57</v>
      </c>
      <c r="D26" s="143">
        <v>52.3</v>
      </c>
      <c r="E26" s="116">
        <f t="shared" si="1"/>
        <v>102.87</v>
      </c>
      <c r="F26" s="678">
        <f>'1461'!F26:G26</f>
        <v>1.1919999999999999</v>
      </c>
      <c r="G26" s="678"/>
      <c r="H26" s="80">
        <f t="shared" si="2"/>
        <v>122.621</v>
      </c>
      <c r="I26" s="101">
        <f t="shared" si="3"/>
        <v>680360.65</v>
      </c>
      <c r="N26" s="616" t="s">
        <v>85</v>
      </c>
      <c r="O26" s="616"/>
      <c r="P26" s="657">
        <f t="shared" si="0"/>
        <v>0</v>
      </c>
      <c r="Q26" s="657"/>
      <c r="R26" s="662">
        <v>1</v>
      </c>
      <c r="S26" s="662"/>
      <c r="T26" s="95">
        <f t="shared" si="4"/>
        <v>0</v>
      </c>
      <c r="U26" s="472">
        <f t="shared" si="5"/>
        <v>0</v>
      </c>
    </row>
    <row r="27" spans="1:21" x14ac:dyDescent="0.25">
      <c r="A27" s="593" t="s">
        <v>86</v>
      </c>
      <c r="B27" s="593"/>
      <c r="C27" s="143">
        <v>12.54</v>
      </c>
      <c r="D27" s="143">
        <v>12.42</v>
      </c>
      <c r="E27" s="116">
        <f t="shared" si="1"/>
        <v>24.96</v>
      </c>
      <c r="F27" s="678">
        <f>'1461'!F27:G27</f>
        <v>1.1919999999999999</v>
      </c>
      <c r="G27" s="678"/>
      <c r="H27" s="80">
        <f t="shared" si="2"/>
        <v>29.752300000000002</v>
      </c>
      <c r="I27" s="101">
        <f t="shared" si="3"/>
        <v>165080.16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295.50000000000006</v>
      </c>
      <c r="D30" s="94">
        <f>SUM(D14:D29)</f>
        <v>293.49</v>
      </c>
      <c r="E30" s="94">
        <f>SUM(E14:E29)</f>
        <v>588.99</v>
      </c>
      <c r="F30" s="597"/>
      <c r="G30" s="597"/>
      <c r="H30" s="99">
        <f>SUM(H14:H29)</f>
        <v>649.71680000000003</v>
      </c>
      <c r="I30" s="94">
        <f>SUM(I14:I29)</f>
        <v>3604943.24</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649.71680000000003</v>
      </c>
      <c r="F46" s="34"/>
      <c r="G46" s="106"/>
      <c r="H46" s="107" t="s">
        <v>98</v>
      </c>
      <c r="I46" s="94">
        <f>SUM(I44,I30)</f>
        <v>3604943.24</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3604943.24</v>
      </c>
      <c r="G51" s="109" t="s">
        <v>6</v>
      </c>
      <c r="H51" s="400">
        <v>5.5899999999999998E-2</v>
      </c>
      <c r="I51" s="101">
        <f>ROUND(F51*H51,2)</f>
        <v>201516.33</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3604943.24</v>
      </c>
      <c r="G52" s="109" t="s">
        <v>6</v>
      </c>
      <c r="H52" s="400">
        <v>1.0699999999999999E-2</v>
      </c>
      <c r="I52" s="101">
        <f>ROUND(F52*H52,2)</f>
        <v>38572.89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240089.21999999997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18.5</v>
      </c>
      <c r="D57" s="143">
        <v>21.01</v>
      </c>
      <c r="E57" s="116">
        <f>IF(D$66=0,C57*2,C57+D57)</f>
        <v>39.510000000000005</v>
      </c>
      <c r="F57" s="442" t="s">
        <v>437</v>
      </c>
      <c r="G57" s="442">
        <v>251</v>
      </c>
      <c r="H57" s="456">
        <f>'1461'!H57</f>
        <v>1047</v>
      </c>
      <c r="I57" s="101">
        <f>ROUND(E57*H57,2)</f>
        <v>41366.97</v>
      </c>
      <c r="N57" s="633" t="s">
        <v>445</v>
      </c>
      <c r="O57" s="633"/>
      <c r="P57" s="636"/>
      <c r="Q57" s="636"/>
      <c r="R57" s="448" t="s">
        <v>437</v>
      </c>
      <c r="S57" s="448">
        <v>251</v>
      </c>
      <c r="T57" s="459">
        <f>H57</f>
        <v>1047</v>
      </c>
      <c r="U57" s="473">
        <f>ROUND(P57*T57,2)</f>
        <v>0</v>
      </c>
      <c r="V57" s="423"/>
    </row>
    <row r="58" spans="1:22" x14ac:dyDescent="0.25">
      <c r="A58" s="604"/>
      <c r="B58" s="604"/>
      <c r="C58" s="143">
        <v>2</v>
      </c>
      <c r="D58" s="143">
        <v>2</v>
      </c>
      <c r="E58" s="116">
        <f>IF(D$66=0,C58*2,C58+D58)</f>
        <v>4</v>
      </c>
      <c r="F58" s="442" t="s">
        <v>437</v>
      </c>
      <c r="G58" s="442">
        <v>252</v>
      </c>
      <c r="H58" s="456">
        <f>'1461'!H58</f>
        <v>3380</v>
      </c>
      <c r="I58" s="101">
        <f t="shared" ref="I58:I65" si="10">ROUND(E58*H58,2)</f>
        <v>13520</v>
      </c>
      <c r="N58" s="634"/>
      <c r="O58" s="634"/>
      <c r="P58" s="637"/>
      <c r="Q58" s="637"/>
      <c r="R58" s="448" t="s">
        <v>437</v>
      </c>
      <c r="S58" s="448">
        <v>252</v>
      </c>
      <c r="T58" s="459">
        <f t="shared" ref="T58:T65" si="11">H58</f>
        <v>3380</v>
      </c>
      <c r="U58" s="473">
        <f t="shared" ref="U58:U65" si="12">ROUND(P58*T58,2)</f>
        <v>0</v>
      </c>
      <c r="V58" s="423"/>
    </row>
    <row r="59" spans="1:22" x14ac:dyDescent="0.25">
      <c r="A59" s="604"/>
      <c r="B59" s="604"/>
      <c r="C59" s="143">
        <v>0</v>
      </c>
      <c r="D59" s="143">
        <v>0</v>
      </c>
      <c r="E59" s="116">
        <f>IF(D$66=0,C59*2,C59+D59)</f>
        <v>0</v>
      </c>
      <c r="F59" s="442" t="s">
        <v>437</v>
      </c>
      <c r="G59" s="442">
        <v>253</v>
      </c>
      <c r="H59" s="456">
        <f>'1461'!H59</f>
        <v>6896</v>
      </c>
      <c r="I59" s="101">
        <f t="shared" si="10"/>
        <v>0</v>
      </c>
      <c r="N59" s="634"/>
      <c r="O59" s="634"/>
      <c r="P59" s="637"/>
      <c r="Q59" s="637"/>
      <c r="R59" s="448" t="s">
        <v>437</v>
      </c>
      <c r="S59" s="448">
        <v>253</v>
      </c>
      <c r="T59" s="459">
        <f t="shared" si="11"/>
        <v>6896</v>
      </c>
      <c r="U59" s="473">
        <f t="shared" si="12"/>
        <v>0</v>
      </c>
      <c r="V59" s="423"/>
    </row>
    <row r="60" spans="1:22" x14ac:dyDescent="0.25">
      <c r="A60" s="604"/>
      <c r="B60" s="604"/>
      <c r="C60" s="143">
        <v>19</v>
      </c>
      <c r="D60" s="143">
        <v>18.989999999999998</v>
      </c>
      <c r="E60" s="116">
        <f>IF(D$66=0,C60*2,C60+D60)</f>
        <v>37.989999999999995</v>
      </c>
      <c r="F60" s="443" t="s">
        <v>13</v>
      </c>
      <c r="G60" s="442">
        <v>251</v>
      </c>
      <c r="H60" s="456">
        <f>'1461'!H60</f>
        <v>1173</v>
      </c>
      <c r="I60" s="101">
        <f t="shared" si="10"/>
        <v>44562.27</v>
      </c>
      <c r="N60" s="634"/>
      <c r="O60" s="634"/>
      <c r="P60" s="637"/>
      <c r="Q60" s="637"/>
      <c r="R60" s="40" t="s">
        <v>13</v>
      </c>
      <c r="S60" s="448">
        <v>251</v>
      </c>
      <c r="T60" s="459">
        <f t="shared" si="11"/>
        <v>1173</v>
      </c>
      <c r="U60" s="473">
        <f t="shared" si="12"/>
        <v>0</v>
      </c>
      <c r="V60" s="423"/>
    </row>
    <row r="61" spans="1:22" x14ac:dyDescent="0.25">
      <c r="A61" s="604"/>
      <c r="B61" s="604"/>
      <c r="C61" s="143">
        <v>1</v>
      </c>
      <c r="D61" s="143">
        <v>0</v>
      </c>
      <c r="E61" s="116">
        <f>IF(D$66=0,C61*2,C61+D61)</f>
        <v>1</v>
      </c>
      <c r="F61" s="443" t="s">
        <v>13</v>
      </c>
      <c r="G61" s="442">
        <v>252</v>
      </c>
      <c r="H61" s="456">
        <f>'1461'!H61</f>
        <v>3506</v>
      </c>
      <c r="I61" s="101">
        <f t="shared" si="10"/>
        <v>3506</v>
      </c>
      <c r="N61" s="634"/>
      <c r="O61" s="634"/>
      <c r="P61" s="637"/>
      <c r="Q61" s="637"/>
      <c r="R61" s="40" t="s">
        <v>13</v>
      </c>
      <c r="S61" s="448">
        <v>252</v>
      </c>
      <c r="T61" s="459">
        <f t="shared" si="11"/>
        <v>3506</v>
      </c>
      <c r="U61" s="473">
        <f t="shared" si="12"/>
        <v>0</v>
      </c>
      <c r="V61" s="423"/>
    </row>
    <row r="62" spans="1:22" x14ac:dyDescent="0.25">
      <c r="A62" s="604"/>
      <c r="B62" s="604"/>
      <c r="C62" s="143">
        <v>0</v>
      </c>
      <c r="D62" s="143">
        <v>0</v>
      </c>
      <c r="E62" s="116">
        <f t="shared" ref="E62:E65" si="13">IF(D$72=0,C62*2,C62+D62)</f>
        <v>0</v>
      </c>
      <c r="F62" s="443" t="s">
        <v>13</v>
      </c>
      <c r="G62" s="442">
        <v>253</v>
      </c>
      <c r="H62" s="456">
        <f>'1461'!H62</f>
        <v>7023</v>
      </c>
      <c r="I62" s="101">
        <f t="shared" si="10"/>
        <v>0</v>
      </c>
      <c r="N62" s="634"/>
      <c r="O62" s="634"/>
      <c r="P62" s="637"/>
      <c r="Q62" s="637"/>
      <c r="R62" s="40" t="s">
        <v>13</v>
      </c>
      <c r="S62" s="448">
        <v>253</v>
      </c>
      <c r="T62" s="459">
        <f t="shared" si="11"/>
        <v>7023</v>
      </c>
      <c r="U62" s="473">
        <f t="shared" si="12"/>
        <v>0</v>
      </c>
      <c r="V62" s="423"/>
    </row>
    <row r="63" spans="1:22" x14ac:dyDescent="0.25">
      <c r="A63" s="604"/>
      <c r="B63" s="604"/>
      <c r="C63" s="143">
        <v>0</v>
      </c>
      <c r="D63" s="143">
        <v>0</v>
      </c>
      <c r="E63" s="116">
        <f t="shared" si="13"/>
        <v>0</v>
      </c>
      <c r="F63" s="443" t="s">
        <v>14</v>
      </c>
      <c r="G63" s="442">
        <v>251</v>
      </c>
      <c r="H63" s="456">
        <f>'1461'!H63</f>
        <v>835</v>
      </c>
      <c r="I63" s="101">
        <f t="shared" si="10"/>
        <v>0</v>
      </c>
      <c r="N63" s="634"/>
      <c r="O63" s="634"/>
      <c r="P63" s="637"/>
      <c r="Q63" s="637"/>
      <c r="R63" s="40" t="s">
        <v>14</v>
      </c>
      <c r="S63" s="448">
        <v>251</v>
      </c>
      <c r="T63" s="459">
        <f t="shared" si="11"/>
        <v>835</v>
      </c>
      <c r="U63" s="473">
        <f t="shared" si="12"/>
        <v>0</v>
      </c>
      <c r="V63" s="423"/>
    </row>
    <row r="64" spans="1:22" x14ac:dyDescent="0.25">
      <c r="A64" s="604"/>
      <c r="B64" s="604"/>
      <c r="C64" s="143">
        <v>0</v>
      </c>
      <c r="D64" s="143">
        <v>0</v>
      </c>
      <c r="E64" s="116">
        <f t="shared" si="13"/>
        <v>0</v>
      </c>
      <c r="F64" s="443" t="s">
        <v>14</v>
      </c>
      <c r="G64" s="442">
        <v>252</v>
      </c>
      <c r="H64" s="456">
        <f>'1461'!H64</f>
        <v>3168</v>
      </c>
      <c r="I64" s="101">
        <f t="shared" si="10"/>
        <v>0</v>
      </c>
      <c r="N64" s="634"/>
      <c r="O64" s="634"/>
      <c r="P64" s="637"/>
      <c r="Q64" s="637"/>
      <c r="R64" s="40" t="s">
        <v>14</v>
      </c>
      <c r="S64" s="448">
        <v>252</v>
      </c>
      <c r="T64" s="459">
        <f t="shared" si="11"/>
        <v>3168</v>
      </c>
      <c r="U64" s="473">
        <f t="shared" si="12"/>
        <v>0</v>
      </c>
      <c r="V64" s="423"/>
    </row>
    <row r="65" spans="1:22" ht="16.5" thickBot="1" x14ac:dyDescent="0.3">
      <c r="A65" s="604"/>
      <c r="B65" s="604"/>
      <c r="C65" s="143">
        <v>0</v>
      </c>
      <c r="D65" s="143">
        <v>0</v>
      </c>
      <c r="E65" s="116">
        <f t="shared" si="13"/>
        <v>0</v>
      </c>
      <c r="F65" s="443" t="s">
        <v>14</v>
      </c>
      <c r="G65" s="442">
        <v>253</v>
      </c>
      <c r="H65" s="456">
        <f>'1461'!H65</f>
        <v>6685</v>
      </c>
      <c r="I65" s="101">
        <f t="shared" si="10"/>
        <v>0</v>
      </c>
      <c r="N65" s="634"/>
      <c r="O65" s="634"/>
      <c r="P65" s="638"/>
      <c r="Q65" s="638"/>
      <c r="R65" s="40" t="s">
        <v>14</v>
      </c>
      <c r="S65" s="448">
        <v>253</v>
      </c>
      <c r="T65" s="459">
        <f t="shared" si="11"/>
        <v>6685</v>
      </c>
      <c r="U65" s="474">
        <f t="shared" si="12"/>
        <v>0</v>
      </c>
      <c r="V65" s="423"/>
    </row>
    <row r="66" spans="1:22" ht="16.5" thickBot="1" x14ac:dyDescent="0.3">
      <c r="A66" s="439"/>
      <c r="C66" s="97">
        <f>SUM(C57:C65)</f>
        <v>40.5</v>
      </c>
      <c r="D66" s="97">
        <f>SUM(D57:D65)</f>
        <v>42</v>
      </c>
      <c r="E66" s="97">
        <f>SUM(E57:E65)</f>
        <v>82.5</v>
      </c>
      <c r="F66" s="605" t="s">
        <v>446</v>
      </c>
      <c r="G66" s="605"/>
      <c r="H66" s="605"/>
      <c r="I66" s="97">
        <f>SUM(I57:I65)</f>
        <v>102955.23999999999</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588.99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2.8019999999999998E-3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649.71680000000003</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2.7659999999999998E-3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588.99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3.1389999999999999E-3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588.99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2.8059999999999999E-3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588.99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3.1440000000000001E-3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2.8059999999999999E-3</v>
      </c>
      <c r="I85" s="101">
        <f>ROUND(F85*H85,2)</f>
        <v>129535.35</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2.8019999999999998E-3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3.1440000000000001E-3</v>
      </c>
      <c r="I90" s="101">
        <f>ROUND(F90*H90,2)</f>
        <v>59868.13</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3.1389999999999999E-3</v>
      </c>
      <c r="I92" s="101">
        <f t="shared" ref="I92:I96" si="14">ROUND(F92*H92,2)</f>
        <v>35913.769999999997</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2.7659999999999998E-3</v>
      </c>
      <c r="I94" s="101">
        <f t="shared" si="14"/>
        <v>707423.35</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2.7659999999999998E-3</v>
      </c>
      <c r="I96" s="101">
        <f t="shared" si="14"/>
        <v>-4385.66</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2.8019999999999998E-3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465.44450000000001</v>
      </c>
      <c r="D104" s="611"/>
      <c r="E104" s="46">
        <f>H8</f>
        <v>1.0407999999999999</v>
      </c>
      <c r="F104" s="302">
        <f>'1461'!F104</f>
        <v>950.92</v>
      </c>
      <c r="G104" s="39" t="s">
        <v>12</v>
      </c>
      <c r="H104" s="101">
        <f>ROUND(C104*E104*F104,2)</f>
        <v>460658.58</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184.2723</v>
      </c>
      <c r="D105" s="611"/>
      <c r="E105" s="46">
        <f>H8</f>
        <v>1.0407999999999999</v>
      </c>
      <c r="F105" s="302">
        <f>'1461'!F105</f>
        <v>907.92</v>
      </c>
      <c r="G105" s="39" t="s">
        <v>12</v>
      </c>
      <c r="H105" s="101">
        <f>ROUND(C105*E105*F105,2)</f>
        <v>174130.53</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649.71680000000003</v>
      </c>
      <c r="D107" s="601"/>
      <c r="E107" s="123"/>
      <c r="F107" s="123"/>
      <c r="G107" s="123"/>
      <c r="H107" s="124" t="s">
        <v>100</v>
      </c>
      <c r="I107" s="101">
        <f>IF(A1=75,0,H106+H105+H104)</f>
        <v>634789.11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203</v>
      </c>
      <c r="D113" s="143">
        <v>201</v>
      </c>
      <c r="E113" s="116">
        <f>(C113+D113)/2</f>
        <v>202</v>
      </c>
      <c r="F113" s="126" t="s">
        <v>30</v>
      </c>
      <c r="G113" s="303">
        <f>'1461'!G113</f>
        <v>567</v>
      </c>
      <c r="I113" s="101">
        <f>ROUND(G113*E113,2)</f>
        <v>114534</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5385576.5300000003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5145487.3100000005</v>
      </c>
      <c r="N130" s="615"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5145487.3100000005</v>
      </c>
      <c r="I135" s="94">
        <f>ROUND(IF(E30=0,0,IF(E30&gt;250,-(((250/E30)*H135)*IF(G135="H",0.02,0.05)),IF(G135="H",-0.02*H135,-0.05*H135))),2)</f>
        <v>-109201.5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5276375.03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-878021.24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4398353.79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439835.38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148072.86550000004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94.73</v>
      </c>
      <c r="D14" s="143">
        <v>93.79</v>
      </c>
      <c r="E14" s="187">
        <f>IF(D$30=0,C14*2,C14+D14)</f>
        <v>188.52</v>
      </c>
      <c r="F14" s="682">
        <f>'1461'!F14:G14</f>
        <v>1.1180000000000001</v>
      </c>
      <c r="G14" s="682"/>
      <c r="H14" s="145">
        <f>ROUND(E14*F14,4)</f>
        <v>210.7654</v>
      </c>
      <c r="I14" s="111">
        <f>ROUND(ROUND(ROUND(H14*$C$8,4)*($H$8),2)*(MAX($H$9,1)),2)</f>
        <v>1169428.45</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21</v>
      </c>
      <c r="D15" s="143">
        <v>22</v>
      </c>
      <c r="E15" s="116">
        <f t="shared" ref="E15:E29" si="1">IF(D$30=0,C15*2,C15+D15)</f>
        <v>43</v>
      </c>
      <c r="F15" s="678">
        <f>'1461'!F15:G15</f>
        <v>1.1180000000000001</v>
      </c>
      <c r="G15" s="678"/>
      <c r="H15" s="80">
        <f t="shared" ref="H15:H29" si="2">ROUND(E15*F15,4)</f>
        <v>48.073999999999998</v>
      </c>
      <c r="I15" s="101">
        <f t="shared" ref="I15:I29" si="3">ROUND(ROUND(ROUND(H15*$C$8,4)*($H$8),2)*(MAX($H$9,1)),2)</f>
        <v>266737.82</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153.22999999999999</v>
      </c>
      <c r="D16" s="143">
        <v>156.32</v>
      </c>
      <c r="E16" s="116">
        <f t="shared" si="1"/>
        <v>309.54999999999995</v>
      </c>
      <c r="F16" s="678">
        <f>'1461'!F16:G16</f>
        <v>1</v>
      </c>
      <c r="G16" s="678"/>
      <c r="H16" s="80">
        <f t="shared" si="2"/>
        <v>309.55</v>
      </c>
      <c r="I16" s="101">
        <f t="shared" si="3"/>
        <v>1717533.22</v>
      </c>
      <c r="N16" s="616" t="s">
        <v>22</v>
      </c>
      <c r="O16" s="616"/>
      <c r="P16" s="657">
        <f t="shared" si="0"/>
        <v>0</v>
      </c>
      <c r="Q16" s="657"/>
      <c r="R16" s="662">
        <v>1</v>
      </c>
      <c r="S16" s="662"/>
      <c r="T16" s="95">
        <f t="shared" si="4"/>
        <v>0</v>
      </c>
      <c r="U16" s="472">
        <f t="shared" si="5"/>
        <v>0</v>
      </c>
    </row>
    <row r="17" spans="1:21" x14ac:dyDescent="0.25">
      <c r="A17" s="593" t="s">
        <v>23</v>
      </c>
      <c r="B17" s="593"/>
      <c r="C17" s="143">
        <v>43.9</v>
      </c>
      <c r="D17" s="143">
        <v>42.04</v>
      </c>
      <c r="E17" s="116">
        <f t="shared" si="1"/>
        <v>85.94</v>
      </c>
      <c r="F17" s="678">
        <f>'1461'!F17:G17</f>
        <v>1</v>
      </c>
      <c r="G17" s="678"/>
      <c r="H17" s="80">
        <f t="shared" si="2"/>
        <v>85.94</v>
      </c>
      <c r="I17" s="101">
        <f t="shared" si="3"/>
        <v>476836.71</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6.77</v>
      </c>
      <c r="D26" s="143">
        <v>6.45</v>
      </c>
      <c r="E26" s="116">
        <f t="shared" si="1"/>
        <v>13.219999999999999</v>
      </c>
      <c r="F26" s="678">
        <f>'1461'!F26:G26</f>
        <v>1.1919999999999999</v>
      </c>
      <c r="G26" s="678"/>
      <c r="H26" s="80">
        <f t="shared" si="2"/>
        <v>15.7582</v>
      </c>
      <c r="I26" s="101">
        <f t="shared" si="3"/>
        <v>87434.12</v>
      </c>
      <c r="N26" s="616" t="s">
        <v>85</v>
      </c>
      <c r="O26" s="616"/>
      <c r="P26" s="657">
        <f t="shared" si="0"/>
        <v>0</v>
      </c>
      <c r="Q26" s="657"/>
      <c r="R26" s="662">
        <v>1</v>
      </c>
      <c r="S26" s="662"/>
      <c r="T26" s="95">
        <f t="shared" si="4"/>
        <v>0</v>
      </c>
      <c r="U26" s="472">
        <f t="shared" si="5"/>
        <v>0</v>
      </c>
    </row>
    <row r="27" spans="1:21" x14ac:dyDescent="0.25">
      <c r="A27" s="593" t="s">
        <v>86</v>
      </c>
      <c r="B27" s="593"/>
      <c r="C27" s="143">
        <v>2.39</v>
      </c>
      <c r="D27" s="143">
        <v>0.97</v>
      </c>
      <c r="E27" s="116">
        <f t="shared" si="1"/>
        <v>3.3600000000000003</v>
      </c>
      <c r="F27" s="678">
        <f>'1461'!F27:G27</f>
        <v>1.1919999999999999</v>
      </c>
      <c r="G27" s="678"/>
      <c r="H27" s="80">
        <f t="shared" si="2"/>
        <v>4.0050999999999997</v>
      </c>
      <c r="I27" s="101">
        <f t="shared" si="3"/>
        <v>22222.23</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322.01999999999992</v>
      </c>
      <c r="D30" s="94">
        <f>SUM(D14:D29)</f>
        <v>321.57000000000005</v>
      </c>
      <c r="E30" s="94">
        <f>SUM(E14:E29)</f>
        <v>643.59</v>
      </c>
      <c r="F30" s="597"/>
      <c r="G30" s="597"/>
      <c r="H30" s="99">
        <f>SUM(H14:H29)</f>
        <v>674.09270000000004</v>
      </c>
      <c r="I30" s="94">
        <f>SUM(I14:I29)</f>
        <v>3740192.5500000003</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674.09270000000004</v>
      </c>
      <c r="F46" s="34"/>
      <c r="G46" s="106"/>
      <c r="H46" s="107" t="s">
        <v>98</v>
      </c>
      <c r="I46" s="94">
        <f>SUM(I44,I30)</f>
        <v>3740192.5500000003</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3740192.5500000003</v>
      </c>
      <c r="G51" s="109" t="s">
        <v>6</v>
      </c>
      <c r="H51" s="400">
        <v>5.5899999999999998E-2</v>
      </c>
      <c r="I51" s="101">
        <f>ROUND(F51*H51,2)</f>
        <v>209076.76</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3740192.5500000003</v>
      </c>
      <c r="G52" s="109" t="s">
        <v>6</v>
      </c>
      <c r="H52" s="400">
        <v>1.0699999999999999E-2</v>
      </c>
      <c r="I52" s="101">
        <f>ROUND(F52*H52,2)</f>
        <v>40020.06</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249096.82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19</v>
      </c>
      <c r="D57" s="143">
        <v>19.59</v>
      </c>
      <c r="E57" s="116">
        <f t="shared" ref="E57:E65" si="10">IF(D$66=0,C57*2,C57+D57)</f>
        <v>38.590000000000003</v>
      </c>
      <c r="F57" s="442" t="s">
        <v>437</v>
      </c>
      <c r="G57" s="442">
        <v>251</v>
      </c>
      <c r="H57" s="456">
        <f>'1461'!H57</f>
        <v>1047</v>
      </c>
      <c r="I57" s="101">
        <f>ROUND(E57*H57,2)</f>
        <v>40403.730000000003</v>
      </c>
      <c r="N57" s="633" t="s">
        <v>445</v>
      </c>
      <c r="O57" s="633"/>
      <c r="P57" s="636"/>
      <c r="Q57" s="636"/>
      <c r="R57" s="448" t="s">
        <v>437</v>
      </c>
      <c r="S57" s="448">
        <v>251</v>
      </c>
      <c r="T57" s="459">
        <f>H57</f>
        <v>1047</v>
      </c>
      <c r="U57" s="473">
        <f>ROUND(P57*T57,2)</f>
        <v>0</v>
      </c>
      <c r="V57" s="423"/>
    </row>
    <row r="58" spans="1:22" x14ac:dyDescent="0.25">
      <c r="A58" s="604"/>
      <c r="B58" s="604"/>
      <c r="C58" s="143">
        <v>2</v>
      </c>
      <c r="D58" s="143">
        <v>2.41</v>
      </c>
      <c r="E58" s="116">
        <f t="shared" si="10"/>
        <v>4.41</v>
      </c>
      <c r="F58" s="442" t="s">
        <v>437</v>
      </c>
      <c r="G58" s="442">
        <v>252</v>
      </c>
      <c r="H58" s="456">
        <f>'1461'!H58</f>
        <v>3380</v>
      </c>
      <c r="I58" s="101">
        <f t="shared" ref="I58:I65" si="11">ROUND(E58*H58,2)</f>
        <v>14905.8</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36.380000000000003</v>
      </c>
      <c r="D60" s="143">
        <v>33.17</v>
      </c>
      <c r="E60" s="116">
        <f t="shared" si="10"/>
        <v>69.550000000000011</v>
      </c>
      <c r="F60" s="443" t="s">
        <v>13</v>
      </c>
      <c r="G60" s="442">
        <v>251</v>
      </c>
      <c r="H60" s="456">
        <f>'1461'!H60</f>
        <v>1173</v>
      </c>
      <c r="I60" s="101">
        <f t="shared" si="11"/>
        <v>81582.149999999994</v>
      </c>
      <c r="N60" s="634"/>
      <c r="O60" s="634"/>
      <c r="P60" s="637"/>
      <c r="Q60" s="637"/>
      <c r="R60" s="40" t="s">
        <v>13</v>
      </c>
      <c r="S60" s="448">
        <v>251</v>
      </c>
      <c r="T60" s="459">
        <f t="shared" si="12"/>
        <v>1173</v>
      </c>
      <c r="U60" s="473">
        <f t="shared" si="13"/>
        <v>0</v>
      </c>
      <c r="V60" s="423"/>
    </row>
    <row r="61" spans="1:22" x14ac:dyDescent="0.25">
      <c r="A61" s="604"/>
      <c r="B61" s="604"/>
      <c r="C61" s="143">
        <v>7.02</v>
      </c>
      <c r="D61" s="143">
        <v>8.4700000000000006</v>
      </c>
      <c r="E61" s="116">
        <f t="shared" si="10"/>
        <v>15.49</v>
      </c>
      <c r="F61" s="443" t="s">
        <v>13</v>
      </c>
      <c r="G61" s="442">
        <v>252</v>
      </c>
      <c r="H61" s="456">
        <f>'1461'!H61</f>
        <v>3506</v>
      </c>
      <c r="I61" s="101">
        <f t="shared" si="11"/>
        <v>54307.94</v>
      </c>
      <c r="N61" s="634"/>
      <c r="O61" s="634"/>
      <c r="P61" s="637"/>
      <c r="Q61" s="637"/>
      <c r="R61" s="40" t="s">
        <v>13</v>
      </c>
      <c r="S61" s="448">
        <v>252</v>
      </c>
      <c r="T61" s="459">
        <f t="shared" si="12"/>
        <v>3506</v>
      </c>
      <c r="U61" s="473">
        <f t="shared" si="13"/>
        <v>0</v>
      </c>
      <c r="V61" s="423"/>
    </row>
    <row r="62" spans="1:22" x14ac:dyDescent="0.25">
      <c r="A62" s="604"/>
      <c r="B62" s="604"/>
      <c r="C62" s="143">
        <v>0.5</v>
      </c>
      <c r="D62" s="143">
        <v>0.4</v>
      </c>
      <c r="E62" s="116">
        <f t="shared" si="10"/>
        <v>0.9</v>
      </c>
      <c r="F62" s="443" t="s">
        <v>13</v>
      </c>
      <c r="G62" s="442">
        <v>253</v>
      </c>
      <c r="H62" s="456">
        <f>'1461'!H62</f>
        <v>7023</v>
      </c>
      <c r="I62" s="101">
        <f t="shared" si="11"/>
        <v>6320.7</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64.900000000000006</v>
      </c>
      <c r="D66" s="97">
        <f>SUM(D57:D65)</f>
        <v>64.040000000000006</v>
      </c>
      <c r="E66" s="97">
        <f>SUM(E57:E65)</f>
        <v>128.94000000000003</v>
      </c>
      <c r="F66" s="605" t="s">
        <v>446</v>
      </c>
      <c r="G66" s="605"/>
      <c r="H66" s="605"/>
      <c r="I66" s="97">
        <f>SUM(I57:I65)</f>
        <v>197520.32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643.59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3.0609999999999999E-3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674.09270000000004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2.8700000000000002E-3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643.59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3.4290000000000002E-3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643.59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3.0660000000000001E-3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643.59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3.4359999999999998E-3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3.0660000000000001E-3</v>
      </c>
      <c r="I85" s="101">
        <f>ROUND(F85*H85,2)</f>
        <v>141537.92000000001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3.0609999999999999E-3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3.4359999999999998E-3</v>
      </c>
      <c r="I90" s="101">
        <f>ROUND(F90*H90,2)</f>
        <v>65428.4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3.4290000000000002E-3</v>
      </c>
      <c r="I92" s="101">
        <f t="shared" ref="I92:I96" si="14">ROUND(F92*H92,2)</f>
        <v>39231.71</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2.8700000000000002E-3</v>
      </c>
      <c r="I94" s="101">
        <f t="shared" si="14"/>
        <v>734022.06</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2.8700000000000002E-3</v>
      </c>
      <c r="I96" s="101">
        <f t="shared" si="14"/>
        <v>-4550.55</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3.0609999999999999E-3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274.5976</v>
      </c>
      <c r="D104" s="611"/>
      <c r="E104" s="46">
        <f>H8</f>
        <v>1.0407999999999999</v>
      </c>
      <c r="F104" s="302">
        <f>'1461'!F104</f>
        <v>950.92</v>
      </c>
      <c r="G104" s="39" t="s">
        <v>12</v>
      </c>
      <c r="H104" s="101">
        <f>ROUND(C104*E104*F104,2)</f>
        <v>271774.06</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399.49510000000004</v>
      </c>
      <c r="D105" s="611"/>
      <c r="E105" s="46">
        <f>H8</f>
        <v>1.0407999999999999</v>
      </c>
      <c r="F105" s="302">
        <f>'1461'!F105</f>
        <v>907.92</v>
      </c>
      <c r="G105" s="39" t="s">
        <v>12</v>
      </c>
      <c r="H105" s="101">
        <f>ROUND(C105*E105*F105,2)</f>
        <v>377508.14</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674.09270000000004</v>
      </c>
      <c r="D107" s="601"/>
      <c r="E107" s="123"/>
      <c r="F107" s="123"/>
      <c r="G107" s="123"/>
      <c r="H107" s="124" t="s">
        <v>100</v>
      </c>
      <c r="I107" s="101">
        <f>IF(A1=75,0,H106+H105+H104)</f>
        <v>649282.19999999995</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v>
      </c>
      <c r="D113" s="143">
        <v>3</v>
      </c>
      <c r="E113" s="116">
        <f>(C113+D113)/2</f>
        <v>2</v>
      </c>
      <c r="F113" s="126" t="s">
        <v>30</v>
      </c>
      <c r="G113" s="303">
        <f>'1461'!G113</f>
        <v>567</v>
      </c>
      <c r="I113" s="101">
        <f>ROUND(G113*E113,2)</f>
        <v>1134</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5563798.6100000003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5314701.79</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5314701.79</v>
      </c>
      <c r="I135" s="94">
        <f>ROUND(IF(E30=0,0,IF(E30&gt;250,-(((250/E30)*H135)*IF(G135="H",0.02,0.05)),IF(G135="H",-0.02*H135,-0.05*H135))),2)</f>
        <v>-41289.5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5522509.1100000003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-918894.41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4603614.7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460361.47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65004.535799999998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3">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7</v>
      </c>
      <c r="D15" s="143">
        <v>7</v>
      </c>
      <c r="E15" s="116">
        <f t="shared" ref="E15:E29" si="1">IF(D$30=0,C15*2,C15+D15)</f>
        <v>14</v>
      </c>
      <c r="F15" s="678">
        <f>'1461'!F15:G15</f>
        <v>1.1180000000000001</v>
      </c>
      <c r="G15" s="678"/>
      <c r="H15" s="80">
        <f t="shared" ref="H15:H29" si="2">ROUND(E15*F15,4)</f>
        <v>15.651999999999999</v>
      </c>
      <c r="I15" s="101">
        <f t="shared" ref="I15:I29" si="3">ROUND(ROUND(ROUND(H15*$C$8,4)*($H$8),2)*(MAX($H$9,1)),2)</f>
        <v>86844.87</v>
      </c>
      <c r="J15" s="65" t="str">
        <f>IF(ROUND(E15,2)=ROUND(SUM(E57:E59),2)," ","CHECK PK-3 LINES BELOW")</f>
        <v xml:space="preserve"> </v>
      </c>
      <c r="N15" s="616" t="s">
        <v>21</v>
      </c>
      <c r="O15" s="616"/>
      <c r="P15" s="657">
        <f t="shared" si="0"/>
        <v>14</v>
      </c>
      <c r="Q15" s="657"/>
      <c r="R15" s="662">
        <v>1</v>
      </c>
      <c r="S15" s="662"/>
      <c r="T15" s="95">
        <f t="shared" ref="T15:T29" si="4">ROUND(P15*R15,4)</f>
        <v>14</v>
      </c>
      <c r="U15" s="472">
        <f t="shared" ref="U15:U29" si="5">ROUND(ROUND(ROUND(T15*$C$8,4)*($H$8),2)*(MAX($H$9,1)),2)</f>
        <v>77678.78</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9</v>
      </c>
      <c r="D17" s="143">
        <v>11.5</v>
      </c>
      <c r="E17" s="116">
        <f t="shared" si="1"/>
        <v>20.5</v>
      </c>
      <c r="F17" s="678">
        <f>'1461'!F17:G17</f>
        <v>1</v>
      </c>
      <c r="G17" s="678"/>
      <c r="H17" s="80">
        <f t="shared" si="2"/>
        <v>20.5</v>
      </c>
      <c r="I17" s="101">
        <f t="shared" si="3"/>
        <v>113743.92</v>
      </c>
      <c r="J17" s="65" t="str">
        <f>IF(ROUND(E17,2)=ROUND(SUM(E60:E62),2)," ","CHECK 4-8 LINES BELOW")</f>
        <v xml:space="preserve"> </v>
      </c>
      <c r="N17" s="616" t="s">
        <v>23</v>
      </c>
      <c r="O17" s="616"/>
      <c r="P17" s="657">
        <f t="shared" si="0"/>
        <v>20.5</v>
      </c>
      <c r="Q17" s="657"/>
      <c r="R17" s="662">
        <v>1</v>
      </c>
      <c r="S17" s="662"/>
      <c r="T17" s="95">
        <f t="shared" si="4"/>
        <v>20.5</v>
      </c>
      <c r="U17" s="472">
        <f t="shared" si="5"/>
        <v>113743.92</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23.5</v>
      </c>
      <c r="D19" s="143">
        <v>29</v>
      </c>
      <c r="E19" s="116">
        <f t="shared" si="1"/>
        <v>52.5</v>
      </c>
      <c r="F19" s="678">
        <f>'1461'!F19:G19</f>
        <v>0.97799999999999998</v>
      </c>
      <c r="G19" s="678"/>
      <c r="H19" s="80">
        <f t="shared" si="2"/>
        <v>51.344999999999999</v>
      </c>
      <c r="I19" s="101">
        <f t="shared" si="3"/>
        <v>284886.90999999997</v>
      </c>
      <c r="J19" s="65" t="str">
        <f>IF(ROUND(E19,2)=ROUND(SUM(E63:E65),2)," ","CHECK 4-8 LINES BELOW")</f>
        <v xml:space="preserve"> </v>
      </c>
      <c r="N19" s="616" t="s">
        <v>25</v>
      </c>
      <c r="O19" s="616"/>
      <c r="P19" s="657">
        <f t="shared" si="0"/>
        <v>52.5</v>
      </c>
      <c r="Q19" s="657"/>
      <c r="R19" s="662">
        <v>1</v>
      </c>
      <c r="S19" s="662"/>
      <c r="T19" s="95">
        <f t="shared" si="4"/>
        <v>52.5</v>
      </c>
      <c r="U19" s="471">
        <f t="shared" si="5"/>
        <v>291295.40999999997</v>
      </c>
    </row>
    <row r="20" spans="1:21" x14ac:dyDescent="0.25">
      <c r="A20" s="593" t="s">
        <v>79</v>
      </c>
      <c r="B20" s="593"/>
      <c r="C20" s="143">
        <v>47.5</v>
      </c>
      <c r="D20" s="143">
        <v>39</v>
      </c>
      <c r="E20" s="116">
        <f t="shared" si="1"/>
        <v>86.5</v>
      </c>
      <c r="F20" s="678">
        <f>'1461'!F20:G20</f>
        <v>3.6970000000000001</v>
      </c>
      <c r="G20" s="678"/>
      <c r="H20" s="80">
        <f t="shared" si="2"/>
        <v>319.79050000000001</v>
      </c>
      <c r="I20" s="101">
        <f t="shared" si="3"/>
        <v>1774352.47</v>
      </c>
      <c r="N20" s="616" t="s">
        <v>79</v>
      </c>
      <c r="O20" s="616"/>
      <c r="P20" s="657">
        <f t="shared" si="0"/>
        <v>86.5</v>
      </c>
      <c r="Q20" s="657"/>
      <c r="R20" s="662">
        <v>1</v>
      </c>
      <c r="S20" s="662"/>
      <c r="T20" s="95">
        <f t="shared" si="4"/>
        <v>86.5</v>
      </c>
      <c r="U20" s="472">
        <f t="shared" si="5"/>
        <v>479943.86</v>
      </c>
    </row>
    <row r="21" spans="1:21" x14ac:dyDescent="0.25">
      <c r="A21" s="593" t="s">
        <v>80</v>
      </c>
      <c r="B21" s="593"/>
      <c r="C21" s="143">
        <v>36</v>
      </c>
      <c r="D21" s="143">
        <v>33.5</v>
      </c>
      <c r="E21" s="116">
        <f t="shared" si="1"/>
        <v>69.5</v>
      </c>
      <c r="F21" s="678">
        <f>'1461'!F21:G21</f>
        <v>3.6970000000000001</v>
      </c>
      <c r="G21" s="678"/>
      <c r="H21" s="80">
        <f t="shared" si="2"/>
        <v>256.94150000000002</v>
      </c>
      <c r="I21" s="101">
        <f t="shared" si="3"/>
        <v>1425635.8</v>
      </c>
      <c r="N21" s="616" t="s">
        <v>80</v>
      </c>
      <c r="O21" s="616"/>
      <c r="P21" s="657">
        <f t="shared" si="0"/>
        <v>69.5</v>
      </c>
      <c r="Q21" s="657"/>
      <c r="R21" s="662">
        <v>1</v>
      </c>
      <c r="S21" s="662"/>
      <c r="T21" s="95">
        <f t="shared" si="4"/>
        <v>69.5</v>
      </c>
      <c r="U21" s="472">
        <f t="shared" si="5"/>
        <v>385619.64</v>
      </c>
    </row>
    <row r="22" spans="1:21" x14ac:dyDescent="0.25">
      <c r="A22" s="593" t="s">
        <v>81</v>
      </c>
      <c r="B22" s="593"/>
      <c r="C22" s="143">
        <v>31</v>
      </c>
      <c r="D22" s="143">
        <v>25.5</v>
      </c>
      <c r="E22" s="116">
        <f t="shared" si="1"/>
        <v>56.5</v>
      </c>
      <c r="F22" s="678">
        <f>'1461'!F22:G22</f>
        <v>3.6970000000000001</v>
      </c>
      <c r="G22" s="678"/>
      <c r="H22" s="80">
        <f t="shared" si="2"/>
        <v>208.88050000000001</v>
      </c>
      <c r="I22" s="101">
        <f t="shared" si="3"/>
        <v>1158970.1100000001</v>
      </c>
      <c r="N22" s="616" t="s">
        <v>81</v>
      </c>
      <c r="O22" s="616"/>
      <c r="P22" s="657">
        <f t="shared" si="0"/>
        <v>56.5</v>
      </c>
      <c r="Q22" s="657"/>
      <c r="R22" s="662">
        <v>1</v>
      </c>
      <c r="S22" s="662"/>
      <c r="T22" s="95">
        <f t="shared" si="4"/>
        <v>56.5</v>
      </c>
      <c r="U22" s="472">
        <f t="shared" si="5"/>
        <v>313489.34999999998</v>
      </c>
    </row>
    <row r="23" spans="1:21" x14ac:dyDescent="0.25">
      <c r="A23" s="593" t="s">
        <v>82</v>
      </c>
      <c r="B23" s="593"/>
      <c r="C23" s="143">
        <v>3</v>
      </c>
      <c r="D23" s="143">
        <v>12</v>
      </c>
      <c r="E23" s="116">
        <f t="shared" si="1"/>
        <v>15</v>
      </c>
      <c r="F23" s="678">
        <f>'1461'!F23:G23</f>
        <v>5.992</v>
      </c>
      <c r="G23" s="678"/>
      <c r="H23" s="80">
        <f t="shared" si="2"/>
        <v>89.88</v>
      </c>
      <c r="I23" s="101">
        <f t="shared" si="3"/>
        <v>498697.74</v>
      </c>
      <c r="N23" s="616" t="s">
        <v>82</v>
      </c>
      <c r="O23" s="616"/>
      <c r="P23" s="657">
        <f t="shared" si="0"/>
        <v>15</v>
      </c>
      <c r="Q23" s="657"/>
      <c r="R23" s="662">
        <v>1</v>
      </c>
      <c r="S23" s="662"/>
      <c r="T23" s="95">
        <f t="shared" si="4"/>
        <v>15</v>
      </c>
      <c r="U23" s="472">
        <f t="shared" si="5"/>
        <v>83227.259999999995</v>
      </c>
    </row>
    <row r="24" spans="1:21" x14ac:dyDescent="0.25">
      <c r="A24" s="593" t="s">
        <v>83</v>
      </c>
      <c r="B24" s="593"/>
      <c r="C24" s="143">
        <v>17.5</v>
      </c>
      <c r="D24" s="143">
        <v>15.5</v>
      </c>
      <c r="E24" s="116">
        <f t="shared" si="1"/>
        <v>33</v>
      </c>
      <c r="F24" s="678">
        <f>'1461'!F24:G24</f>
        <v>5.992</v>
      </c>
      <c r="G24" s="678"/>
      <c r="H24" s="80">
        <f t="shared" si="2"/>
        <v>197.73599999999999</v>
      </c>
      <c r="I24" s="101">
        <f t="shared" si="3"/>
        <v>1097135.03</v>
      </c>
      <c r="N24" s="616" t="s">
        <v>83</v>
      </c>
      <c r="O24" s="616"/>
      <c r="P24" s="657">
        <f t="shared" si="0"/>
        <v>33</v>
      </c>
      <c r="Q24" s="657"/>
      <c r="R24" s="662">
        <v>1</v>
      </c>
      <c r="S24" s="662"/>
      <c r="T24" s="95">
        <f t="shared" si="4"/>
        <v>33</v>
      </c>
      <c r="U24" s="472">
        <f t="shared" si="5"/>
        <v>183099.97</v>
      </c>
    </row>
    <row r="25" spans="1:21" x14ac:dyDescent="0.25">
      <c r="A25" s="593" t="s">
        <v>84</v>
      </c>
      <c r="B25" s="593"/>
      <c r="C25" s="143">
        <v>11</v>
      </c>
      <c r="D25" s="143">
        <v>11</v>
      </c>
      <c r="E25" s="116">
        <f t="shared" si="1"/>
        <v>22</v>
      </c>
      <c r="F25" s="678">
        <f>'1461'!F25:G25</f>
        <v>5.992</v>
      </c>
      <c r="G25" s="678"/>
      <c r="H25" s="80">
        <f t="shared" si="2"/>
        <v>131.82400000000001</v>
      </c>
      <c r="I25" s="101">
        <f t="shared" si="3"/>
        <v>731423.35</v>
      </c>
      <c r="N25" s="616" t="s">
        <v>84</v>
      </c>
      <c r="O25" s="616"/>
      <c r="P25" s="657">
        <f t="shared" si="0"/>
        <v>22</v>
      </c>
      <c r="Q25" s="657"/>
      <c r="R25" s="662">
        <v>1</v>
      </c>
      <c r="S25" s="662"/>
      <c r="T25" s="95">
        <f t="shared" si="4"/>
        <v>22</v>
      </c>
      <c r="U25" s="472">
        <f t="shared" si="5"/>
        <v>122066.65</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185.5</v>
      </c>
      <c r="D30" s="94">
        <f>SUM(D14:D29)</f>
        <v>184</v>
      </c>
      <c r="E30" s="94">
        <f>SUM(E14:E29)</f>
        <v>369.5</v>
      </c>
      <c r="F30" s="597"/>
      <c r="G30" s="597"/>
      <c r="H30" s="99">
        <f>SUM(H14:H29)</f>
        <v>1292.5495000000001</v>
      </c>
      <c r="I30" s="94">
        <f>SUM(I14:I29)</f>
        <v>7171690.2000000002</v>
      </c>
      <c r="N30" s="659" t="s">
        <v>5</v>
      </c>
      <c r="O30" s="659"/>
      <c r="P30" s="660">
        <f>SUM(P14:P29)</f>
        <v>369.5</v>
      </c>
      <c r="Q30" s="660"/>
      <c r="R30" s="632"/>
      <c r="S30" s="632"/>
      <c r="T30" s="100">
        <f>SUM(T14:T29)</f>
        <v>369.5</v>
      </c>
      <c r="U30" s="472">
        <f>SUM(U14:U29)</f>
        <v>2050164.8399999999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1292.5495000000001</v>
      </c>
      <c r="F46" s="34"/>
      <c r="G46" s="106"/>
      <c r="H46" s="107" t="s">
        <v>98</v>
      </c>
      <c r="I46" s="94">
        <f>SUM(I44,I30)</f>
        <v>7171690.2000000002</v>
      </c>
      <c r="N46" s="618" t="s">
        <v>44</v>
      </c>
      <c r="O46" s="618"/>
      <c r="P46" s="618"/>
      <c r="Q46" s="618"/>
      <c r="R46" s="35">
        <f>R44+T30</f>
        <v>369.5</v>
      </c>
      <c r="S46" s="632" t="s">
        <v>42</v>
      </c>
      <c r="T46" s="632"/>
      <c r="U46" s="108">
        <f>SUM(U44,U30)</f>
        <v>2050164.8399999999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7171690.2000000002</v>
      </c>
      <c r="G51" s="109" t="s">
        <v>6</v>
      </c>
      <c r="H51" s="400">
        <v>5.5899999999999998E-2</v>
      </c>
      <c r="I51" s="101">
        <f>ROUND(F51*H51,2)</f>
        <v>400897.48</v>
      </c>
      <c r="N51" s="405"/>
      <c r="O51" s="406" t="s">
        <v>513</v>
      </c>
      <c r="P51" s="28"/>
      <c r="Q51" s="44" t="s">
        <v>399</v>
      </c>
      <c r="R51" s="407">
        <f>U30</f>
        <v>2050164.8399999999</v>
      </c>
      <c r="S51" s="408" t="s">
        <v>6</v>
      </c>
      <c r="T51" s="409">
        <v>5.5899999999999998E-2</v>
      </c>
      <c r="U51" s="401">
        <f>ROUND(R51*T51,2)</f>
        <v>114604.21</v>
      </c>
    </row>
    <row r="52" spans="1:22" x14ac:dyDescent="0.25">
      <c r="A52" s="26"/>
      <c r="B52" s="558" t="s">
        <v>522</v>
      </c>
      <c r="C52" s="26"/>
      <c r="D52" s="26"/>
      <c r="E52" s="43" t="s">
        <v>399</v>
      </c>
      <c r="F52" s="399">
        <v>7171690.2000000002</v>
      </c>
      <c r="G52" s="109" t="s">
        <v>6</v>
      </c>
      <c r="H52" s="400">
        <v>1.0699999999999999E-2</v>
      </c>
      <c r="I52" s="101">
        <f>ROUND(F52*H52,2)</f>
        <v>76737.09</v>
      </c>
      <c r="N52" s="28"/>
      <c r="O52" s="559" t="s">
        <v>521</v>
      </c>
      <c r="P52" s="28"/>
      <c r="Q52" s="44" t="s">
        <v>399</v>
      </c>
      <c r="R52" s="407">
        <f>U30</f>
        <v>2050164.8399999999</v>
      </c>
      <c r="S52" s="408" t="s">
        <v>6</v>
      </c>
      <c r="T52" s="409">
        <v>1.0699999999999999E-2</v>
      </c>
      <c r="U52" s="410">
        <f>ROUND(R52*T52,2)</f>
        <v>21936.76</v>
      </c>
    </row>
    <row r="53" spans="1:22" x14ac:dyDescent="0.25">
      <c r="A53" s="26"/>
      <c r="B53" s="81" t="s">
        <v>400</v>
      </c>
      <c r="C53" s="26"/>
      <c r="D53" s="26"/>
      <c r="E53" s="43"/>
      <c r="F53" s="399"/>
      <c r="G53" s="109"/>
      <c r="H53" s="400"/>
      <c r="I53" s="97">
        <f>SUM(I51:I52)</f>
        <v>477634.56999999995</v>
      </c>
      <c r="N53" s="28"/>
      <c r="O53" s="382" t="s">
        <v>400</v>
      </c>
      <c r="P53" s="28"/>
      <c r="Q53" s="44"/>
      <c r="R53" s="407"/>
      <c r="S53" s="408"/>
      <c r="T53" s="409"/>
      <c r="U53" s="401">
        <f>SUM(U51:U52)</f>
        <v>136540.97</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7</v>
      </c>
      <c r="D59" s="143">
        <v>7</v>
      </c>
      <c r="E59" s="116">
        <f t="shared" si="10"/>
        <v>14</v>
      </c>
      <c r="F59" s="442" t="s">
        <v>437</v>
      </c>
      <c r="G59" s="442">
        <v>253</v>
      </c>
      <c r="H59" s="456">
        <f>'1461'!H59</f>
        <v>6896</v>
      </c>
      <c r="I59" s="101">
        <f t="shared" si="11"/>
        <v>96544</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9</v>
      </c>
      <c r="D62" s="143">
        <v>11.5</v>
      </c>
      <c r="E62" s="116">
        <f>IF(D$66=0,C62*2,C62+D62)</f>
        <v>20.5</v>
      </c>
      <c r="F62" s="443" t="s">
        <v>13</v>
      </c>
      <c r="G62" s="442">
        <v>253</v>
      </c>
      <c r="H62" s="456">
        <f>'1461'!H62</f>
        <v>7023</v>
      </c>
      <c r="I62" s="101">
        <f t="shared" si="11"/>
        <v>143971.5</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1.5</v>
      </c>
      <c r="D64" s="143">
        <v>1.41</v>
      </c>
      <c r="E64" s="116">
        <f t="shared" si="10"/>
        <v>2.91</v>
      </c>
      <c r="F64" s="443" t="s">
        <v>14</v>
      </c>
      <c r="G64" s="442">
        <v>252</v>
      </c>
      <c r="H64" s="456">
        <f>'1461'!H64</f>
        <v>3168</v>
      </c>
      <c r="I64" s="101">
        <f t="shared" si="11"/>
        <v>9218.8799999999992</v>
      </c>
      <c r="N64" s="634"/>
      <c r="O64" s="634"/>
      <c r="P64" s="637"/>
      <c r="Q64" s="637"/>
      <c r="R64" s="40" t="s">
        <v>14</v>
      </c>
      <c r="S64" s="448">
        <v>252</v>
      </c>
      <c r="T64" s="459">
        <f t="shared" si="12"/>
        <v>3168</v>
      </c>
      <c r="U64" s="473">
        <f t="shared" si="13"/>
        <v>0</v>
      </c>
      <c r="V64" s="423"/>
    </row>
    <row r="65" spans="1:22" ht="16.5" thickBot="1" x14ac:dyDescent="0.3">
      <c r="A65" s="604"/>
      <c r="B65" s="604"/>
      <c r="C65" s="143">
        <v>22</v>
      </c>
      <c r="D65" s="143">
        <v>27.59</v>
      </c>
      <c r="E65" s="116">
        <f t="shared" si="10"/>
        <v>49.59</v>
      </c>
      <c r="F65" s="443" t="s">
        <v>14</v>
      </c>
      <c r="G65" s="442">
        <v>253</v>
      </c>
      <c r="H65" s="456">
        <f>'1461'!H65</f>
        <v>6685</v>
      </c>
      <c r="I65" s="101">
        <f t="shared" si="11"/>
        <v>331509.15000000002</v>
      </c>
      <c r="N65" s="634"/>
      <c r="O65" s="634"/>
      <c r="P65" s="638"/>
      <c r="Q65" s="638"/>
      <c r="R65" s="40" t="s">
        <v>14</v>
      </c>
      <c r="S65" s="448">
        <v>253</v>
      </c>
      <c r="T65" s="459">
        <f t="shared" si="12"/>
        <v>6685</v>
      </c>
      <c r="U65" s="474">
        <f t="shared" si="13"/>
        <v>0</v>
      </c>
      <c r="V65" s="423"/>
    </row>
    <row r="66" spans="1:22" ht="16.5" thickBot="1" x14ac:dyDescent="0.3">
      <c r="A66" s="439"/>
      <c r="C66" s="97">
        <f>SUM(C57:C65)</f>
        <v>39.5</v>
      </c>
      <c r="D66" s="97">
        <f>SUM(D57:D65)</f>
        <v>47.5</v>
      </c>
      <c r="E66" s="97">
        <f>SUM(E57:E65)</f>
        <v>87</v>
      </c>
      <c r="F66" s="605" t="s">
        <v>446</v>
      </c>
      <c r="G66" s="605"/>
      <c r="H66" s="605"/>
      <c r="I66" s="97">
        <f>SUM(I57:I65)</f>
        <v>581243.53</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369.5</v>
      </c>
      <c r="D69" s="580" t="s">
        <v>412</v>
      </c>
      <c r="E69" s="580"/>
      <c r="F69" s="580"/>
      <c r="G69" s="580"/>
      <c r="H69" s="299">
        <f>'1461'!H69</f>
        <v>210228.91</v>
      </c>
      <c r="I69" s="113"/>
      <c r="N69" s="615" t="s">
        <v>405</v>
      </c>
      <c r="O69" s="616"/>
      <c r="P69" s="41">
        <f>P30</f>
        <v>369.5</v>
      </c>
      <c r="Q69" s="621" t="s">
        <v>407</v>
      </c>
      <c r="R69" s="622"/>
      <c r="S69" s="622"/>
      <c r="T69" s="619">
        <f>H69</f>
        <v>210228.91</v>
      </c>
      <c r="U69" s="619"/>
    </row>
    <row r="70" spans="1:22" x14ac:dyDescent="0.25">
      <c r="B70" s="69"/>
      <c r="G70" s="42" t="s">
        <v>12</v>
      </c>
      <c r="H70" s="114">
        <f>ROUND(C69/H69,6)</f>
        <v>1.758E-3</v>
      </c>
      <c r="I70" s="115"/>
      <c r="N70" s="616"/>
      <c r="O70" s="616"/>
      <c r="P70" s="616"/>
      <c r="Q70" s="616"/>
      <c r="R70" s="616"/>
      <c r="S70" s="616"/>
      <c r="T70" s="620">
        <f>ROUND(P69/T69,6)</f>
        <v>1.758E-3</v>
      </c>
      <c r="U70" s="620"/>
    </row>
    <row r="71" spans="1:22" x14ac:dyDescent="0.25">
      <c r="A71" s="441" t="s">
        <v>449</v>
      </c>
      <c r="N71" s="452" t="s">
        <v>457</v>
      </c>
      <c r="O71" s="51"/>
      <c r="P71" s="51"/>
      <c r="Q71" s="51"/>
      <c r="R71" s="51"/>
      <c r="S71" s="51"/>
      <c r="T71" s="51"/>
      <c r="U71" s="51"/>
    </row>
    <row r="72" spans="1:22" x14ac:dyDescent="0.25">
      <c r="A72" s="599" t="s">
        <v>402</v>
      </c>
      <c r="B72" s="593"/>
      <c r="C72" s="112">
        <f>H30</f>
        <v>1292.5495000000001</v>
      </c>
      <c r="D72" s="580" t="s">
        <v>413</v>
      </c>
      <c r="E72" s="580"/>
      <c r="F72" s="580"/>
      <c r="G72" s="580"/>
      <c r="H72" s="300">
        <f>'1461'!H72</f>
        <v>234891.44</v>
      </c>
      <c r="I72" s="116"/>
      <c r="N72" s="615" t="s">
        <v>406</v>
      </c>
      <c r="O72" s="616"/>
      <c r="P72" s="41">
        <f>T30</f>
        <v>369.5</v>
      </c>
      <c r="Q72" s="621" t="s">
        <v>408</v>
      </c>
      <c r="R72" s="622"/>
      <c r="S72" s="622"/>
      <c r="T72" s="619">
        <f>H72</f>
        <v>234891.44</v>
      </c>
      <c r="U72" s="619"/>
    </row>
    <row r="73" spans="1:22" x14ac:dyDescent="0.25">
      <c r="G73" s="42" t="s">
        <v>12</v>
      </c>
      <c r="H73" s="114">
        <f>ROUND(C72/H72,6)</f>
        <v>5.5030000000000001E-3</v>
      </c>
      <c r="I73" s="114"/>
      <c r="N73" s="616"/>
      <c r="O73" s="616"/>
      <c r="P73" s="616"/>
      <c r="Q73" s="616"/>
      <c r="R73" s="616"/>
      <c r="S73" s="616"/>
      <c r="T73" s="620">
        <f>ROUND(P72/T72,6)</f>
        <v>1.573E-3</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369.5</v>
      </c>
      <c r="D75" s="572" t="s">
        <v>414</v>
      </c>
      <c r="E75" s="572"/>
      <c r="F75" s="572"/>
      <c r="G75" s="572"/>
      <c r="H75" s="299">
        <f>'1461'!H75</f>
        <v>187665.41</v>
      </c>
      <c r="I75" s="113"/>
      <c r="N75" s="615" t="s">
        <v>404</v>
      </c>
      <c r="O75" s="616"/>
      <c r="P75" s="41">
        <f>P30</f>
        <v>369.5</v>
      </c>
      <c r="Q75" s="651" t="s">
        <v>409</v>
      </c>
      <c r="R75" s="652"/>
      <c r="S75" s="652"/>
      <c r="T75" s="619">
        <f>H75</f>
        <v>187665.41</v>
      </c>
      <c r="U75" s="619"/>
    </row>
    <row r="76" spans="1:22" x14ac:dyDescent="0.25">
      <c r="B76" s="69"/>
      <c r="G76" s="42" t="s">
        <v>12</v>
      </c>
      <c r="H76" s="114">
        <f>ROUND(C75/H75,6)</f>
        <v>1.9689999999999998E-3</v>
      </c>
      <c r="I76" s="115"/>
      <c r="N76" s="616"/>
      <c r="O76" s="616"/>
      <c r="P76" s="616"/>
      <c r="Q76" s="616"/>
      <c r="R76" s="616"/>
      <c r="S76" s="616"/>
      <c r="T76" s="620">
        <f>ROUND(P75/T75,6)</f>
        <v>1.9689999999999998E-3</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369.5</v>
      </c>
      <c r="D78" s="600" t="s">
        <v>415</v>
      </c>
      <c r="E78" s="600"/>
      <c r="F78" s="600"/>
      <c r="G78" s="600"/>
      <c r="H78" s="299">
        <f>'1461'!H78</f>
        <v>209892.26</v>
      </c>
      <c r="I78" s="113"/>
      <c r="N78" s="615" t="s">
        <v>404</v>
      </c>
      <c r="O78" s="616"/>
      <c r="P78" s="41">
        <f>P30</f>
        <v>369.5</v>
      </c>
      <c r="Q78" s="649" t="s">
        <v>410</v>
      </c>
      <c r="R78" s="650"/>
      <c r="S78" s="650"/>
      <c r="T78" s="619">
        <f>H78</f>
        <v>209892.26</v>
      </c>
      <c r="U78" s="619"/>
    </row>
    <row r="79" spans="1:22" x14ac:dyDescent="0.25">
      <c r="B79" s="69"/>
      <c r="G79" s="42" t="s">
        <v>12</v>
      </c>
      <c r="H79" s="114">
        <f>ROUND(C78/H78,6)</f>
        <v>1.7600000000000001E-3</v>
      </c>
      <c r="I79" s="115"/>
      <c r="N79" s="616"/>
      <c r="O79" s="616"/>
      <c r="P79" s="616"/>
      <c r="Q79" s="616"/>
      <c r="R79" s="616"/>
      <c r="S79" s="616"/>
      <c r="T79" s="620">
        <f>ROUND(P78/T78,6)</f>
        <v>1.7600000000000001E-3</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369.5</v>
      </c>
      <c r="D81" s="572" t="s">
        <v>416</v>
      </c>
      <c r="E81" s="572"/>
      <c r="F81" s="572"/>
      <c r="G81" s="572"/>
      <c r="H81" s="299">
        <f>'1461'!H81</f>
        <v>187328.76</v>
      </c>
      <c r="I81" s="113"/>
      <c r="N81" s="615" t="s">
        <v>417</v>
      </c>
      <c r="O81" s="616"/>
      <c r="P81" s="41">
        <f>P30</f>
        <v>369.5</v>
      </c>
      <c r="Q81" s="651" t="s">
        <v>418</v>
      </c>
      <c r="R81" s="652"/>
      <c r="S81" s="652"/>
      <c r="T81" s="619">
        <f>H81</f>
        <v>187328.76</v>
      </c>
      <c r="U81" s="619"/>
    </row>
    <row r="82" spans="1:21" x14ac:dyDescent="0.25">
      <c r="B82" s="69"/>
      <c r="G82" s="42" t="s">
        <v>12</v>
      </c>
      <c r="H82" s="114">
        <f>ROUND(C81/H81,6)</f>
        <v>1.9719999999999998E-3</v>
      </c>
      <c r="I82" s="115"/>
      <c r="N82" s="616"/>
      <c r="O82" s="616"/>
      <c r="P82" s="616"/>
      <c r="Q82" s="616"/>
      <c r="R82" s="616"/>
      <c r="S82" s="616"/>
      <c r="T82" s="620">
        <f>ROUND(P81/T81,6)</f>
        <v>1.9719999999999998E-3</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1.7600000000000001E-3</v>
      </c>
      <c r="I85" s="101">
        <f>ROUND(F85*H85,2)</f>
        <v>81248.12</v>
      </c>
      <c r="N85" s="452" t="s">
        <v>453</v>
      </c>
      <c r="O85" s="51"/>
      <c r="P85" s="51"/>
      <c r="Q85" s="44"/>
      <c r="R85" s="418">
        <f>F85</f>
        <v>46163704</v>
      </c>
      <c r="S85" s="38" t="s">
        <v>6</v>
      </c>
      <c r="T85" s="420">
        <f>T79</f>
        <v>1.7600000000000001E-3</v>
      </c>
      <c r="U85" s="472">
        <f>ROUND(R85*T85,2)</f>
        <v>81248.12</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1.758E-3</v>
      </c>
      <c r="I88" s="101">
        <f>ROUND(F88*H88,2)</f>
        <v>0</v>
      </c>
      <c r="N88" s="653" t="s">
        <v>99</v>
      </c>
      <c r="O88" s="616"/>
      <c r="P88" s="616"/>
      <c r="Q88" s="44"/>
      <c r="R88" s="418">
        <f>F88</f>
        <v>0</v>
      </c>
      <c r="S88" s="38" t="s">
        <v>6</v>
      </c>
      <c r="T88" s="420">
        <f>T70</f>
        <v>1.758E-3</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1.9719999999999998E-3</v>
      </c>
      <c r="I90" s="101">
        <f>ROUND(F90*H90,2)</f>
        <v>37550.879999999997</v>
      </c>
      <c r="N90" s="452" t="s">
        <v>454</v>
      </c>
      <c r="O90" s="51"/>
      <c r="P90" s="51"/>
      <c r="Q90" s="44"/>
      <c r="R90" s="418">
        <f>F90</f>
        <v>19042026</v>
      </c>
      <c r="S90" s="38" t="s">
        <v>6</v>
      </c>
      <c r="T90" s="420">
        <f>T82</f>
        <v>1.9719999999999998E-3</v>
      </c>
      <c r="U90" s="472">
        <f>ROUND(R90*T90,2)</f>
        <v>37550.879999999997</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1.9689999999999998E-3</v>
      </c>
      <c r="I92" s="101">
        <f t="shared" ref="I92:I96" si="14">ROUND(F92*H92,2)</f>
        <v>22527.63</v>
      </c>
      <c r="N92" s="452" t="s">
        <v>455</v>
      </c>
      <c r="O92" s="51"/>
      <c r="P92" s="51"/>
      <c r="Q92" s="44"/>
      <c r="R92" s="418">
        <f t="shared" ref="R92:R96" si="15">F92</f>
        <v>11441151</v>
      </c>
      <c r="S92" s="38" t="s">
        <v>6</v>
      </c>
      <c r="T92" s="420">
        <f>T76</f>
        <v>1.9689999999999998E-3</v>
      </c>
      <c r="U92" s="472">
        <f>ROUND(R92*T92,2)</f>
        <v>22527.63</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5.5030000000000001E-3</v>
      </c>
      <c r="I94" s="101">
        <f t="shared" si="14"/>
        <v>1407429.76</v>
      </c>
      <c r="N94" s="616" t="s">
        <v>420</v>
      </c>
      <c r="O94" s="616"/>
      <c r="P94" s="616"/>
      <c r="Q94" s="44"/>
      <c r="R94" s="418">
        <f t="shared" si="15"/>
        <v>255756816</v>
      </c>
      <c r="S94" s="38" t="s">
        <v>6</v>
      </c>
      <c r="T94" s="420">
        <f>T73</f>
        <v>1.573E-3</v>
      </c>
      <c r="U94" s="472">
        <f>ROUND(R94*T94,2)</f>
        <v>402305.47</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5.5030000000000001E-3</v>
      </c>
      <c r="I96" s="101">
        <f t="shared" si="14"/>
        <v>-8725.33</v>
      </c>
      <c r="N96" s="615" t="s">
        <v>421</v>
      </c>
      <c r="O96" s="616"/>
      <c r="P96" s="616"/>
      <c r="Q96" s="44"/>
      <c r="R96" s="418">
        <f t="shared" si="15"/>
        <v>-1585559</v>
      </c>
      <c r="S96" s="38" t="s">
        <v>6</v>
      </c>
      <c r="T96" s="420">
        <f>T73</f>
        <v>1.573E-3</v>
      </c>
      <c r="U96" s="472">
        <f>ROUND(R96*T96,2)</f>
        <v>-2494.08</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1.758E-3</v>
      </c>
      <c r="I98" s="101">
        <f t="shared" ref="I98" si="16">ROUND(F98*H98,2)</f>
        <v>0</v>
      </c>
      <c r="N98" s="532" t="s">
        <v>495</v>
      </c>
      <c r="O98" s="532"/>
      <c r="P98" s="532"/>
      <c r="Q98" s="44"/>
      <c r="R98" s="535">
        <f>F98</f>
        <v>0</v>
      </c>
      <c r="S98" s="533" t="s">
        <v>6</v>
      </c>
      <c r="T98" s="420">
        <f>T70</f>
        <v>1.758E-3</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425.32249999999999</v>
      </c>
      <c r="D104" s="611"/>
      <c r="E104" s="46">
        <f>H8</f>
        <v>1.0407999999999999</v>
      </c>
      <c r="F104" s="302">
        <f>'1461'!F104</f>
        <v>950.92</v>
      </c>
      <c r="G104" s="39" t="s">
        <v>12</v>
      </c>
      <c r="H104" s="101">
        <f>ROUND(C104*E104*F104,2)</f>
        <v>420949.14</v>
      </c>
      <c r="I104" s="104"/>
      <c r="N104" s="28" t="s">
        <v>17</v>
      </c>
      <c r="O104" s="47">
        <f>T14+T15+T20+T23+T26</f>
        <v>115.5</v>
      </c>
      <c r="P104" s="626">
        <f>T8</f>
        <v>1.0407999999999999</v>
      </c>
      <c r="Q104" s="626"/>
      <c r="R104" s="48">
        <f>F104</f>
        <v>950.92</v>
      </c>
      <c r="S104" s="40" t="s">
        <v>12</v>
      </c>
      <c r="T104" s="478">
        <f>ROUND(O104*P104*R104,2)</f>
        <v>114312.38</v>
      </c>
      <c r="U104" s="102"/>
    </row>
    <row r="105" spans="1:21" x14ac:dyDescent="0.25">
      <c r="A105" s="49"/>
      <c r="B105" s="49" t="s">
        <v>104</v>
      </c>
      <c r="C105" s="611">
        <f>H16+H17+H21+H24+H27</f>
        <v>475.17750000000001</v>
      </c>
      <c r="D105" s="611"/>
      <c r="E105" s="46">
        <f>H8</f>
        <v>1.0407999999999999</v>
      </c>
      <c r="F105" s="302">
        <f>'1461'!F105</f>
        <v>907.92</v>
      </c>
      <c r="G105" s="39" t="s">
        <v>12</v>
      </c>
      <c r="H105" s="101">
        <f>ROUND(C105*E105*F105,2)</f>
        <v>449025.22</v>
      </c>
      <c r="N105" s="50" t="s">
        <v>13</v>
      </c>
      <c r="O105" s="47">
        <f>T16+T17+T21+T24+T27</f>
        <v>123</v>
      </c>
      <c r="P105" s="626">
        <f>T8</f>
        <v>1.0407999999999999</v>
      </c>
      <c r="Q105" s="626"/>
      <c r="R105" s="48">
        <f>F105</f>
        <v>907.92</v>
      </c>
      <c r="S105" s="40" t="s">
        <v>12</v>
      </c>
      <c r="T105" s="478">
        <f>ROUND(O105*P105*R105,2)</f>
        <v>116230.47</v>
      </c>
      <c r="U105" s="51"/>
    </row>
    <row r="106" spans="1:21" ht="16.5" thickBot="1" x14ac:dyDescent="0.3">
      <c r="A106" s="52"/>
      <c r="B106" s="52" t="s">
        <v>103</v>
      </c>
      <c r="C106" s="611">
        <f>H18+H19+H22+H25+H28+H29</f>
        <v>392.04950000000002</v>
      </c>
      <c r="D106" s="611"/>
      <c r="E106" s="46">
        <f>H8</f>
        <v>1.0407999999999999</v>
      </c>
      <c r="F106" s="302">
        <f>'1461'!F106</f>
        <v>910.12</v>
      </c>
      <c r="G106" s="39" t="s">
        <v>12</v>
      </c>
      <c r="H106" s="94">
        <f>ROUND(C106*E106*F106,2)</f>
        <v>371370.02</v>
      </c>
      <c r="N106" s="53" t="s">
        <v>14</v>
      </c>
      <c r="O106" s="54">
        <f>T18+T19+T22+T25+T28+T29</f>
        <v>131</v>
      </c>
      <c r="P106" s="626">
        <f>T8</f>
        <v>1.0407999999999999</v>
      </c>
      <c r="Q106" s="626"/>
      <c r="R106" s="48">
        <f>F106</f>
        <v>910.12</v>
      </c>
      <c r="S106" s="40" t="s">
        <v>12</v>
      </c>
      <c r="T106" s="478">
        <f>ROUND(O106*P106*R106,2)</f>
        <v>124090.13</v>
      </c>
      <c r="U106" s="51"/>
    </row>
    <row r="107" spans="1:21" ht="16.5" thickBot="1" x14ac:dyDescent="0.3">
      <c r="A107" s="55"/>
      <c r="B107" s="122" t="s">
        <v>102</v>
      </c>
      <c r="C107" s="601">
        <f>SUM(C104:C106)</f>
        <v>1292.5495000000001</v>
      </c>
      <c r="D107" s="601"/>
      <c r="E107" s="123"/>
      <c r="F107" s="123"/>
      <c r="G107" s="123"/>
      <c r="H107" s="124" t="s">
        <v>100</v>
      </c>
      <c r="I107" s="101">
        <f>IF(A1=75,0,H106+H105+H104)</f>
        <v>1241344.3799999999</v>
      </c>
      <c r="N107" s="56" t="s">
        <v>89</v>
      </c>
      <c r="O107" s="57">
        <f>SUM(O104:O106)</f>
        <v>369.5</v>
      </c>
      <c r="P107" s="627" t="s">
        <v>16</v>
      </c>
      <c r="Q107" s="628"/>
      <c r="R107" s="628"/>
      <c r="S107" s="628"/>
      <c r="T107" s="628"/>
      <c r="U107" s="472">
        <f>IF(N1=75,0,T106+T105+T104)</f>
        <v>354632.98</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10534309.170000002</v>
      </c>
      <c r="N128" s="452"/>
      <c r="O128" s="451"/>
      <c r="P128" s="451"/>
      <c r="Q128" s="305"/>
      <c r="R128" s="305"/>
      <c r="S128" s="305"/>
      <c r="T128" s="305"/>
      <c r="U128" s="479">
        <f>SUM(U30,U85,U88,U90,U92,U94,U96,U107,U113,U114,U124,U126)</f>
        <v>2945935.8399999994</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10056674.600000001</v>
      </c>
      <c r="N130" s="616" t="s">
        <v>432</v>
      </c>
      <c r="O130" s="616"/>
      <c r="P130" s="616"/>
      <c r="Q130" s="616"/>
      <c r="R130" s="616"/>
      <c r="S130" s="616"/>
      <c r="T130" s="616"/>
      <c r="U130" s="470">
        <f>U128-U53</f>
        <v>2809394.8699999992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2809394.8699999992</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2809394.8699999992</v>
      </c>
      <c r="I135" s="94">
        <f>ROUND(IF(E30=0,0,IF(E30&gt;250,-(((250/E30)*H135)*IF(G135="H",0.02,0.05)),IF(G135="H",-0.02*H135,-0.05*H135))),2)</f>
        <v>-95040.42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10439268.750000002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-1736942.69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8702326.0600000024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870232.61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45429.323499999955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328</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0.48</v>
      </c>
      <c r="E15" s="116">
        <f t="shared" ref="E15:E29" si="1">IF(D$30=0,C15*2,C15+D15)</f>
        <v>0.48</v>
      </c>
      <c r="F15" s="678">
        <f>'1461'!F15:G15</f>
        <v>1.1180000000000001</v>
      </c>
      <c r="G15" s="678"/>
      <c r="H15" s="80">
        <f t="shared" ref="H15:H29" si="2">ROUND(E15*F15,4)</f>
        <v>0.53659999999999997</v>
      </c>
      <c r="I15" s="101">
        <f t="shared" ref="I15:I29" si="3">ROUND(ROUND(ROUND(H15*$C$8,4)*($H$8),2)*(MAX($H$9,1)),2)</f>
        <v>2977.32</v>
      </c>
      <c r="J15" s="65" t="str">
        <f>IF(ROUND(E15,2)=ROUND(SUM(E57:E59),2)," ","CHECK PK-3 LINES BELOW")</f>
        <v xml:space="preserve"> </v>
      </c>
      <c r="N15" s="616" t="s">
        <v>21</v>
      </c>
      <c r="O15" s="616"/>
      <c r="P15" s="657">
        <f t="shared" si="0"/>
        <v>0.48</v>
      </c>
      <c r="Q15" s="657"/>
      <c r="R15" s="662">
        <v>1</v>
      </c>
      <c r="S15" s="662"/>
      <c r="T15" s="95">
        <f t="shared" ref="T15:T29" si="4">ROUND(P15*R15,4)</f>
        <v>0.48</v>
      </c>
      <c r="U15" s="472">
        <f t="shared" ref="U15:U29" si="5">ROUND(ROUND(ROUND(T15*$C$8,4)*($H$8),2)*(MAX($H$9,1)),2)</f>
        <v>2663.27</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3.5</v>
      </c>
      <c r="D19" s="143">
        <v>4</v>
      </c>
      <c r="E19" s="116">
        <f t="shared" si="1"/>
        <v>7.5</v>
      </c>
      <c r="F19" s="678">
        <f>'1461'!F19:G19</f>
        <v>0.97799999999999998</v>
      </c>
      <c r="G19" s="678"/>
      <c r="H19" s="80">
        <f t="shared" si="2"/>
        <v>7.335</v>
      </c>
      <c r="I19" s="101">
        <f t="shared" si="3"/>
        <v>40698.129999999997</v>
      </c>
      <c r="J19" s="65" t="str">
        <f>IF(ROUND(E19,2)=ROUND(SUM(E63:E65),2)," ","CHECK 4-8 LINES BELOW")</f>
        <v xml:space="preserve"> </v>
      </c>
      <c r="N19" s="616" t="s">
        <v>25</v>
      </c>
      <c r="O19" s="616"/>
      <c r="P19" s="657">
        <f t="shared" si="0"/>
        <v>7.5</v>
      </c>
      <c r="Q19" s="657"/>
      <c r="R19" s="662">
        <v>1</v>
      </c>
      <c r="S19" s="662"/>
      <c r="T19" s="95">
        <f t="shared" si="4"/>
        <v>7.5</v>
      </c>
      <c r="U19" s="471">
        <f t="shared" si="5"/>
        <v>41613.629999999997</v>
      </c>
    </row>
    <row r="20" spans="1:21" x14ac:dyDescent="0.25">
      <c r="A20" s="593" t="s">
        <v>79</v>
      </c>
      <c r="B20" s="593"/>
      <c r="C20" s="143">
        <v>0</v>
      </c>
      <c r="D20" s="143">
        <v>4.37</v>
      </c>
      <c r="E20" s="116">
        <f t="shared" si="1"/>
        <v>4.37</v>
      </c>
      <c r="F20" s="678">
        <f>'1461'!F20:G20</f>
        <v>3.6970000000000001</v>
      </c>
      <c r="G20" s="678"/>
      <c r="H20" s="80">
        <f t="shared" si="2"/>
        <v>16.155899999999999</v>
      </c>
      <c r="I20" s="101">
        <f t="shared" si="3"/>
        <v>89640.75</v>
      </c>
      <c r="N20" s="616" t="s">
        <v>79</v>
      </c>
      <c r="O20" s="616"/>
      <c r="P20" s="657">
        <f t="shared" si="0"/>
        <v>4.37</v>
      </c>
      <c r="Q20" s="657"/>
      <c r="R20" s="662">
        <v>1</v>
      </c>
      <c r="S20" s="662"/>
      <c r="T20" s="95">
        <f t="shared" si="4"/>
        <v>4.37</v>
      </c>
      <c r="U20" s="472">
        <f t="shared" si="5"/>
        <v>24246.880000000001</v>
      </c>
    </row>
    <row r="21" spans="1:21" x14ac:dyDescent="0.25">
      <c r="A21" s="593" t="s">
        <v>80</v>
      </c>
      <c r="B21" s="593"/>
      <c r="C21" s="143">
        <v>0</v>
      </c>
      <c r="D21" s="143">
        <v>8.75</v>
      </c>
      <c r="E21" s="116">
        <f t="shared" si="1"/>
        <v>8.75</v>
      </c>
      <c r="F21" s="678">
        <f>'1461'!F21:G21</f>
        <v>3.6970000000000001</v>
      </c>
      <c r="G21" s="678"/>
      <c r="H21" s="80">
        <f t="shared" si="2"/>
        <v>32.348799999999997</v>
      </c>
      <c r="I21" s="101">
        <f t="shared" si="3"/>
        <v>179486.8</v>
      </c>
      <c r="N21" s="616" t="s">
        <v>80</v>
      </c>
      <c r="O21" s="616"/>
      <c r="P21" s="657">
        <f t="shared" si="0"/>
        <v>8.75</v>
      </c>
      <c r="Q21" s="657"/>
      <c r="R21" s="662">
        <v>1</v>
      </c>
      <c r="S21" s="662"/>
      <c r="T21" s="95">
        <f t="shared" si="4"/>
        <v>8.75</v>
      </c>
      <c r="U21" s="472">
        <f t="shared" si="5"/>
        <v>48549.23</v>
      </c>
    </row>
    <row r="22" spans="1:21" x14ac:dyDescent="0.25">
      <c r="A22" s="593" t="s">
        <v>81</v>
      </c>
      <c r="B22" s="593"/>
      <c r="C22" s="143">
        <v>25</v>
      </c>
      <c r="D22" s="143">
        <v>21.89</v>
      </c>
      <c r="E22" s="116">
        <f t="shared" si="1"/>
        <v>46.89</v>
      </c>
      <c r="F22" s="678">
        <f>'1461'!F22:G22</f>
        <v>3.6970000000000001</v>
      </c>
      <c r="G22" s="678"/>
      <c r="H22" s="80">
        <f t="shared" si="2"/>
        <v>173.35230000000001</v>
      </c>
      <c r="I22" s="101">
        <f t="shared" si="3"/>
        <v>961842.46</v>
      </c>
      <c r="N22" s="616" t="s">
        <v>81</v>
      </c>
      <c r="O22" s="616"/>
      <c r="P22" s="657">
        <f t="shared" si="0"/>
        <v>46.89</v>
      </c>
      <c r="Q22" s="657"/>
      <c r="R22" s="662">
        <v>1</v>
      </c>
      <c r="S22" s="662"/>
      <c r="T22" s="95">
        <f t="shared" si="4"/>
        <v>46.89</v>
      </c>
      <c r="U22" s="472">
        <f t="shared" si="5"/>
        <v>260168.41</v>
      </c>
    </row>
    <row r="23" spans="1:21" x14ac:dyDescent="0.25">
      <c r="A23" s="593" t="s">
        <v>82</v>
      </c>
      <c r="B23" s="593"/>
      <c r="C23" s="143">
        <v>0</v>
      </c>
      <c r="D23" s="143">
        <v>1.47</v>
      </c>
      <c r="E23" s="116">
        <f t="shared" si="1"/>
        <v>1.47</v>
      </c>
      <c r="F23" s="678">
        <f>'1461'!F23:G23</f>
        <v>5.992</v>
      </c>
      <c r="G23" s="678"/>
      <c r="H23" s="80">
        <f t="shared" si="2"/>
        <v>8.8081999999999994</v>
      </c>
      <c r="I23" s="101">
        <f t="shared" si="3"/>
        <v>48872.160000000003</v>
      </c>
      <c r="N23" s="616" t="s">
        <v>82</v>
      </c>
      <c r="O23" s="616"/>
      <c r="P23" s="657">
        <f t="shared" si="0"/>
        <v>1.47</v>
      </c>
      <c r="Q23" s="657"/>
      <c r="R23" s="662">
        <v>1</v>
      </c>
      <c r="S23" s="662"/>
      <c r="T23" s="95">
        <f t="shared" si="4"/>
        <v>1.47</v>
      </c>
      <c r="U23" s="472">
        <f t="shared" si="5"/>
        <v>8156.27</v>
      </c>
    </row>
    <row r="24" spans="1:21" x14ac:dyDescent="0.25">
      <c r="A24" s="593" t="s">
        <v>83</v>
      </c>
      <c r="B24" s="593"/>
      <c r="C24" s="143">
        <v>0</v>
      </c>
      <c r="D24" s="143">
        <v>2.96</v>
      </c>
      <c r="E24" s="116">
        <f t="shared" si="1"/>
        <v>2.96</v>
      </c>
      <c r="F24" s="678">
        <f>'1461'!F24:G24</f>
        <v>5.992</v>
      </c>
      <c r="G24" s="678"/>
      <c r="H24" s="80">
        <f t="shared" si="2"/>
        <v>17.7363</v>
      </c>
      <c r="I24" s="101">
        <f t="shared" si="3"/>
        <v>98409.58</v>
      </c>
      <c r="N24" s="616" t="s">
        <v>83</v>
      </c>
      <c r="O24" s="616"/>
      <c r="P24" s="657">
        <f t="shared" si="0"/>
        <v>2.96</v>
      </c>
      <c r="Q24" s="657"/>
      <c r="R24" s="662">
        <v>1</v>
      </c>
      <c r="S24" s="662"/>
      <c r="T24" s="95">
        <f t="shared" si="4"/>
        <v>2.96</v>
      </c>
      <c r="U24" s="472">
        <f t="shared" si="5"/>
        <v>16423.509999999998</v>
      </c>
    </row>
    <row r="25" spans="1:21" x14ac:dyDescent="0.25">
      <c r="A25" s="593" t="s">
        <v>84</v>
      </c>
      <c r="B25" s="593"/>
      <c r="C25" s="143">
        <v>33</v>
      </c>
      <c r="D25" s="143">
        <v>34</v>
      </c>
      <c r="E25" s="116">
        <f t="shared" si="1"/>
        <v>67</v>
      </c>
      <c r="F25" s="678">
        <f>'1461'!F25:G25</f>
        <v>5.992</v>
      </c>
      <c r="G25" s="678"/>
      <c r="H25" s="80">
        <f t="shared" si="2"/>
        <v>401.464</v>
      </c>
      <c r="I25" s="101">
        <f t="shared" si="3"/>
        <v>2227516.5699999998</v>
      </c>
      <c r="N25" s="616" t="s">
        <v>84</v>
      </c>
      <c r="O25" s="616"/>
      <c r="P25" s="657">
        <f t="shared" si="0"/>
        <v>67</v>
      </c>
      <c r="Q25" s="657"/>
      <c r="R25" s="662">
        <v>1</v>
      </c>
      <c r="S25" s="662"/>
      <c r="T25" s="95">
        <f t="shared" si="4"/>
        <v>67</v>
      </c>
      <c r="U25" s="472">
        <f t="shared" si="5"/>
        <v>371748.43</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61.5</v>
      </c>
      <c r="D30" s="94">
        <f>SUM(D14:D29)</f>
        <v>77.92</v>
      </c>
      <c r="E30" s="94">
        <f>SUM(E14:E29)</f>
        <v>139.42000000000002</v>
      </c>
      <c r="F30" s="597"/>
      <c r="G30" s="597"/>
      <c r="H30" s="99">
        <f>SUM(H14:H29)</f>
        <v>657.73710000000005</v>
      </c>
      <c r="I30" s="94">
        <f>SUM(I14:I29)</f>
        <v>3649443.7699999996</v>
      </c>
      <c r="N30" s="659" t="s">
        <v>5</v>
      </c>
      <c r="O30" s="659"/>
      <c r="P30" s="660">
        <f>SUM(P14:P29)</f>
        <v>139.42000000000002</v>
      </c>
      <c r="Q30" s="660"/>
      <c r="R30" s="632"/>
      <c r="S30" s="632"/>
      <c r="T30" s="100">
        <f>SUM(T14:T29)</f>
        <v>139.42000000000002</v>
      </c>
      <c r="U30" s="472">
        <f>SUM(U14:U29)</f>
        <v>773569.63000000012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657.73710000000005</v>
      </c>
      <c r="F46" s="34"/>
      <c r="G46" s="106"/>
      <c r="H46" s="107" t="s">
        <v>98</v>
      </c>
      <c r="I46" s="94">
        <f>SUM(I44,I30)</f>
        <v>3649443.7699999996</v>
      </c>
      <c r="N46" s="618" t="s">
        <v>44</v>
      </c>
      <c r="O46" s="618"/>
      <c r="P46" s="618"/>
      <c r="Q46" s="618"/>
      <c r="R46" s="35">
        <f>R44+T30</f>
        <v>139.42000000000002</v>
      </c>
      <c r="S46" s="632" t="s">
        <v>42</v>
      </c>
      <c r="T46" s="632"/>
      <c r="U46" s="108">
        <f>SUM(U44,U30)</f>
        <v>773569.63000000012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3649443.7699999996</v>
      </c>
      <c r="G51" s="109" t="s">
        <v>6</v>
      </c>
      <c r="H51" s="400">
        <v>5.5899999999999998E-2</v>
      </c>
      <c r="I51" s="101">
        <f>ROUND(F51*H51,2)</f>
        <v>204003.91</v>
      </c>
      <c r="N51" s="405"/>
      <c r="O51" s="406" t="s">
        <v>513</v>
      </c>
      <c r="P51" s="28"/>
      <c r="Q51" s="44" t="s">
        <v>399</v>
      </c>
      <c r="R51" s="407">
        <f>U30</f>
        <v>773569.63000000012</v>
      </c>
      <c r="S51" s="408" t="s">
        <v>6</v>
      </c>
      <c r="T51" s="409">
        <v>5.5899999999999998E-2</v>
      </c>
      <c r="U51" s="401">
        <f>ROUND(R51*T51,2)</f>
        <v>43242.54</v>
      </c>
    </row>
    <row r="52" spans="1:22" x14ac:dyDescent="0.25">
      <c r="A52" s="26"/>
      <c r="B52" s="558" t="s">
        <v>522</v>
      </c>
      <c r="C52" s="26"/>
      <c r="D52" s="26"/>
      <c r="E52" s="43" t="s">
        <v>399</v>
      </c>
      <c r="F52" s="399">
        <v>3649443.7699999996</v>
      </c>
      <c r="G52" s="109" t="s">
        <v>6</v>
      </c>
      <c r="H52" s="400">
        <v>1.0699999999999999E-2</v>
      </c>
      <c r="I52" s="101">
        <f>ROUND(F52*H52,2)</f>
        <v>39049.050000000003</v>
      </c>
      <c r="N52" s="28"/>
      <c r="O52" s="559" t="s">
        <v>521</v>
      </c>
      <c r="P52" s="28"/>
      <c r="Q52" s="44" t="s">
        <v>399</v>
      </c>
      <c r="R52" s="407">
        <f>U30</f>
        <v>773569.63000000012</v>
      </c>
      <c r="S52" s="408" t="s">
        <v>6</v>
      </c>
      <c r="T52" s="409">
        <v>1.0699999999999999E-2</v>
      </c>
      <c r="U52" s="410">
        <f>ROUND(R52*T52,2)</f>
        <v>8277.2000000000007</v>
      </c>
    </row>
    <row r="53" spans="1:22" x14ac:dyDescent="0.25">
      <c r="A53" s="26"/>
      <c r="B53" s="81" t="s">
        <v>400</v>
      </c>
      <c r="C53" s="26"/>
      <c r="D53" s="26"/>
      <c r="E53" s="43"/>
      <c r="F53" s="399"/>
      <c r="G53" s="109"/>
      <c r="H53" s="400"/>
      <c r="I53" s="97">
        <f>SUM(I51:I52)</f>
        <v>243052.96000000002</v>
      </c>
      <c r="N53" s="28"/>
      <c r="O53" s="382" t="s">
        <v>400</v>
      </c>
      <c r="P53" s="28"/>
      <c r="Q53" s="44"/>
      <c r="R53" s="407"/>
      <c r="S53" s="408"/>
      <c r="T53" s="409"/>
      <c r="U53" s="401">
        <f>SUM(U51:U52)</f>
        <v>51519.740000000005</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0.48</v>
      </c>
      <c r="E57" s="116">
        <f t="shared" ref="E57:E65" si="10">IF(D$66=0,C57*2,C57+D57)</f>
        <v>0.48</v>
      </c>
      <c r="F57" s="442" t="s">
        <v>437</v>
      </c>
      <c r="G57" s="442">
        <v>251</v>
      </c>
      <c r="H57" s="456">
        <f>'1461'!H57</f>
        <v>1047</v>
      </c>
      <c r="I57" s="101">
        <f>ROUND(E57*H57,2)</f>
        <v>502.56</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3.5</v>
      </c>
      <c r="D65" s="143">
        <v>4</v>
      </c>
      <c r="E65" s="116">
        <f t="shared" si="10"/>
        <v>7.5</v>
      </c>
      <c r="F65" s="443" t="s">
        <v>14</v>
      </c>
      <c r="G65" s="442">
        <v>253</v>
      </c>
      <c r="H65" s="456">
        <f>'1461'!H65</f>
        <v>6685</v>
      </c>
      <c r="I65" s="101">
        <f t="shared" si="11"/>
        <v>50137.5</v>
      </c>
      <c r="N65" s="634"/>
      <c r="O65" s="634"/>
      <c r="P65" s="638"/>
      <c r="Q65" s="638"/>
      <c r="R65" s="40" t="s">
        <v>14</v>
      </c>
      <c r="S65" s="448">
        <v>253</v>
      </c>
      <c r="T65" s="459">
        <f t="shared" si="12"/>
        <v>6685</v>
      </c>
      <c r="U65" s="474">
        <f t="shared" si="13"/>
        <v>0</v>
      </c>
      <c r="V65" s="423"/>
    </row>
    <row r="66" spans="1:22" ht="16.5" thickBot="1" x14ac:dyDescent="0.3">
      <c r="A66" s="439"/>
      <c r="C66" s="97">
        <f>SUM(C57:C65)</f>
        <v>3.5</v>
      </c>
      <c r="D66" s="97">
        <f>SUM(D57:D65)</f>
        <v>4.4800000000000004</v>
      </c>
      <c r="E66" s="97">
        <f>SUM(E57:E65)</f>
        <v>7.98</v>
      </c>
      <c r="F66" s="605" t="s">
        <v>446</v>
      </c>
      <c r="G66" s="605"/>
      <c r="H66" s="605"/>
      <c r="I66" s="97">
        <f>SUM(I57:I65)</f>
        <v>50640.06</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139.42000000000002</v>
      </c>
      <c r="D69" s="580" t="s">
        <v>412</v>
      </c>
      <c r="E69" s="580"/>
      <c r="F69" s="580"/>
      <c r="G69" s="580"/>
      <c r="H69" s="299">
        <f>'1461'!H69</f>
        <v>210228.91</v>
      </c>
      <c r="I69" s="113"/>
      <c r="N69" s="615" t="s">
        <v>405</v>
      </c>
      <c r="O69" s="616"/>
      <c r="P69" s="41">
        <f>P30</f>
        <v>139.42000000000002</v>
      </c>
      <c r="Q69" s="621" t="s">
        <v>407</v>
      </c>
      <c r="R69" s="622"/>
      <c r="S69" s="622"/>
      <c r="T69" s="619">
        <f>H69</f>
        <v>210228.91</v>
      </c>
      <c r="U69" s="619"/>
    </row>
    <row r="70" spans="1:22" x14ac:dyDescent="0.25">
      <c r="B70" s="69"/>
      <c r="G70" s="42" t="s">
        <v>12</v>
      </c>
      <c r="H70" s="114">
        <f>ROUND(C69/H69,6)</f>
        <v>6.6299999999999996E-4</v>
      </c>
      <c r="I70" s="115"/>
      <c r="N70" s="616"/>
      <c r="O70" s="616"/>
      <c r="P70" s="616"/>
      <c r="Q70" s="616"/>
      <c r="R70" s="616"/>
      <c r="S70" s="616"/>
      <c r="T70" s="620">
        <f>ROUND(P69/T69,6)</f>
        <v>6.6299999999999996E-4</v>
      </c>
      <c r="U70" s="620"/>
    </row>
    <row r="71" spans="1:22" x14ac:dyDescent="0.25">
      <c r="A71" s="441" t="s">
        <v>449</v>
      </c>
      <c r="N71" s="452" t="s">
        <v>457</v>
      </c>
      <c r="O71" s="51"/>
      <c r="P71" s="51"/>
      <c r="Q71" s="51"/>
      <c r="R71" s="51"/>
      <c r="S71" s="51"/>
      <c r="T71" s="51"/>
      <c r="U71" s="51"/>
    </row>
    <row r="72" spans="1:22" x14ac:dyDescent="0.25">
      <c r="A72" s="599" t="s">
        <v>402</v>
      </c>
      <c r="B72" s="593"/>
      <c r="C72" s="112">
        <f>H30</f>
        <v>657.73710000000005</v>
      </c>
      <c r="D72" s="580" t="s">
        <v>413</v>
      </c>
      <c r="E72" s="580"/>
      <c r="F72" s="580"/>
      <c r="G72" s="580"/>
      <c r="H72" s="300">
        <f>'1461'!H72</f>
        <v>234891.44</v>
      </c>
      <c r="I72" s="116"/>
      <c r="N72" s="615" t="s">
        <v>406</v>
      </c>
      <c r="O72" s="616"/>
      <c r="P72" s="41">
        <f>T30</f>
        <v>139.42000000000002</v>
      </c>
      <c r="Q72" s="621" t="s">
        <v>408</v>
      </c>
      <c r="R72" s="622"/>
      <c r="S72" s="622"/>
      <c r="T72" s="619">
        <f>H72</f>
        <v>234891.44</v>
      </c>
      <c r="U72" s="619"/>
    </row>
    <row r="73" spans="1:22" x14ac:dyDescent="0.25">
      <c r="G73" s="42" t="s">
        <v>12</v>
      </c>
      <c r="H73" s="114">
        <f>ROUND(C72/H72,6)</f>
        <v>2.8E-3</v>
      </c>
      <c r="I73" s="114"/>
      <c r="N73" s="616"/>
      <c r="O73" s="616"/>
      <c r="P73" s="616"/>
      <c r="Q73" s="616"/>
      <c r="R73" s="616"/>
      <c r="S73" s="616"/>
      <c r="T73" s="620">
        <f>ROUND(P72/T72,6)</f>
        <v>5.9400000000000002E-4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139.42000000000002</v>
      </c>
      <c r="D75" s="572" t="s">
        <v>414</v>
      </c>
      <c r="E75" s="572"/>
      <c r="F75" s="572"/>
      <c r="G75" s="572"/>
      <c r="H75" s="299">
        <f>'1461'!H75</f>
        <v>187665.41</v>
      </c>
      <c r="I75" s="113"/>
      <c r="N75" s="615" t="s">
        <v>404</v>
      </c>
      <c r="O75" s="616"/>
      <c r="P75" s="41">
        <f>P30</f>
        <v>139.42000000000002</v>
      </c>
      <c r="Q75" s="651" t="s">
        <v>409</v>
      </c>
      <c r="R75" s="652"/>
      <c r="S75" s="652"/>
      <c r="T75" s="619">
        <f>H75</f>
        <v>187665.41</v>
      </c>
      <c r="U75" s="619"/>
    </row>
    <row r="76" spans="1:22" x14ac:dyDescent="0.25">
      <c r="B76" s="69"/>
      <c r="G76" s="42" t="s">
        <v>12</v>
      </c>
      <c r="H76" s="114">
        <f>ROUND(C75/H75,6)</f>
        <v>7.4299999999999995E-4</v>
      </c>
      <c r="I76" s="115"/>
      <c r="N76" s="616"/>
      <c r="O76" s="616"/>
      <c r="P76" s="616"/>
      <c r="Q76" s="616"/>
      <c r="R76" s="616"/>
      <c r="S76" s="616"/>
      <c r="T76" s="620">
        <f>ROUND(P75/T75,6)</f>
        <v>7.4299999999999995E-4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139.42000000000002</v>
      </c>
      <c r="D78" s="600" t="s">
        <v>415</v>
      </c>
      <c r="E78" s="600"/>
      <c r="F78" s="600"/>
      <c r="G78" s="600"/>
      <c r="H78" s="299">
        <f>'1461'!H78</f>
        <v>209892.26</v>
      </c>
      <c r="I78" s="113"/>
      <c r="N78" s="615" t="s">
        <v>404</v>
      </c>
      <c r="O78" s="616"/>
      <c r="P78" s="41">
        <f>P30</f>
        <v>139.42000000000002</v>
      </c>
      <c r="Q78" s="649" t="s">
        <v>410</v>
      </c>
      <c r="R78" s="650"/>
      <c r="S78" s="650"/>
      <c r="T78" s="619">
        <f>H78</f>
        <v>209892.26</v>
      </c>
      <c r="U78" s="619"/>
    </row>
    <row r="79" spans="1:22" x14ac:dyDescent="0.25">
      <c r="B79" s="69"/>
      <c r="G79" s="42" t="s">
        <v>12</v>
      </c>
      <c r="H79" s="114">
        <f>ROUND(C78/H78,6)</f>
        <v>6.6399999999999999E-4</v>
      </c>
      <c r="I79" s="115"/>
      <c r="N79" s="616"/>
      <c r="O79" s="616"/>
      <c r="P79" s="616"/>
      <c r="Q79" s="616"/>
      <c r="R79" s="616"/>
      <c r="S79" s="616"/>
      <c r="T79" s="620">
        <f>ROUND(P78/T78,6)</f>
        <v>6.6399999999999999E-4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139.42000000000002</v>
      </c>
      <c r="D81" s="572" t="s">
        <v>416</v>
      </c>
      <c r="E81" s="572"/>
      <c r="F81" s="572"/>
      <c r="G81" s="572"/>
      <c r="H81" s="299">
        <f>'1461'!H81</f>
        <v>187328.76</v>
      </c>
      <c r="I81" s="113"/>
      <c r="N81" s="615" t="s">
        <v>417</v>
      </c>
      <c r="O81" s="616"/>
      <c r="P81" s="41">
        <f>P30</f>
        <v>139.42000000000002</v>
      </c>
      <c r="Q81" s="651" t="s">
        <v>418</v>
      </c>
      <c r="R81" s="652"/>
      <c r="S81" s="652"/>
      <c r="T81" s="619">
        <f>H81</f>
        <v>187328.76</v>
      </c>
      <c r="U81" s="619"/>
    </row>
    <row r="82" spans="1:21" x14ac:dyDescent="0.25">
      <c r="B82" s="69"/>
      <c r="G82" s="42" t="s">
        <v>12</v>
      </c>
      <c r="H82" s="114">
        <f>ROUND(C81/H81,6)</f>
        <v>7.4399999999999998E-4</v>
      </c>
      <c r="I82" s="115"/>
      <c r="N82" s="616"/>
      <c r="O82" s="616"/>
      <c r="P82" s="616"/>
      <c r="Q82" s="616"/>
      <c r="R82" s="616"/>
      <c r="S82" s="616"/>
      <c r="T82" s="620">
        <f>ROUND(P81/T81,6)</f>
        <v>7.4399999999999998E-4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6.6399999999999999E-4</v>
      </c>
      <c r="I85" s="101">
        <f>ROUND(F85*H85,2)</f>
        <v>30652.7</v>
      </c>
      <c r="N85" s="452" t="s">
        <v>453</v>
      </c>
      <c r="O85" s="51"/>
      <c r="P85" s="51"/>
      <c r="Q85" s="44"/>
      <c r="R85" s="418">
        <f>F85</f>
        <v>46163704</v>
      </c>
      <c r="S85" s="38" t="s">
        <v>6</v>
      </c>
      <c r="T85" s="420">
        <f>T79</f>
        <v>6.6399999999999999E-4</v>
      </c>
      <c r="U85" s="472">
        <f>ROUND(R85*T85,2)</f>
        <v>30652.7</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6.6299999999999996E-4</v>
      </c>
      <c r="I88" s="101">
        <f>ROUND(F88*H88,2)</f>
        <v>0</v>
      </c>
      <c r="N88" s="653" t="s">
        <v>99</v>
      </c>
      <c r="O88" s="616"/>
      <c r="P88" s="616"/>
      <c r="Q88" s="44"/>
      <c r="R88" s="418">
        <f>F88</f>
        <v>0</v>
      </c>
      <c r="S88" s="38" t="s">
        <v>6</v>
      </c>
      <c r="T88" s="420">
        <f>T70</f>
        <v>6.6299999999999996E-4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7.4399999999999998E-4</v>
      </c>
      <c r="I90" s="101">
        <f>ROUND(F90*H90,2)</f>
        <v>14167.27</v>
      </c>
      <c r="N90" s="452" t="s">
        <v>454</v>
      </c>
      <c r="O90" s="51"/>
      <c r="P90" s="51"/>
      <c r="Q90" s="44"/>
      <c r="R90" s="418">
        <f>F90</f>
        <v>19042026</v>
      </c>
      <c r="S90" s="38" t="s">
        <v>6</v>
      </c>
      <c r="T90" s="420">
        <f>T82</f>
        <v>7.4399999999999998E-4</v>
      </c>
      <c r="U90" s="472">
        <f>ROUND(R90*T90,2)</f>
        <v>14167.27</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7.4299999999999995E-4</v>
      </c>
      <c r="I92" s="101">
        <f t="shared" ref="I92:I96" si="14">ROUND(F92*H92,2)</f>
        <v>8500.7800000000007</v>
      </c>
      <c r="N92" s="452" t="s">
        <v>455</v>
      </c>
      <c r="O92" s="51"/>
      <c r="P92" s="51"/>
      <c r="Q92" s="44"/>
      <c r="R92" s="418">
        <f t="shared" ref="R92:R96" si="15">F92</f>
        <v>11441151</v>
      </c>
      <c r="S92" s="38" t="s">
        <v>6</v>
      </c>
      <c r="T92" s="420">
        <f>T76</f>
        <v>7.4299999999999995E-4</v>
      </c>
      <c r="U92" s="472">
        <f>ROUND(R92*T92,2)</f>
        <v>8500.7800000000007</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2.8E-3</v>
      </c>
      <c r="I94" s="101">
        <f t="shared" si="14"/>
        <v>716119.08</v>
      </c>
      <c r="N94" s="616" t="s">
        <v>420</v>
      </c>
      <c r="O94" s="616"/>
      <c r="P94" s="616"/>
      <c r="Q94" s="44"/>
      <c r="R94" s="418">
        <f t="shared" si="15"/>
        <v>255756816</v>
      </c>
      <c r="S94" s="38" t="s">
        <v>6</v>
      </c>
      <c r="T94" s="420">
        <f>T73</f>
        <v>5.9400000000000002E-4</v>
      </c>
      <c r="U94" s="472">
        <f>ROUND(R94*T94,2)</f>
        <v>151919.54999999999</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2.8E-3</v>
      </c>
      <c r="I96" s="101">
        <f t="shared" si="14"/>
        <v>-4439.57</v>
      </c>
      <c r="N96" s="615" t="s">
        <v>421</v>
      </c>
      <c r="O96" s="616"/>
      <c r="P96" s="616"/>
      <c r="Q96" s="44"/>
      <c r="R96" s="418">
        <f t="shared" si="15"/>
        <v>-1585559</v>
      </c>
      <c r="S96" s="38" t="s">
        <v>6</v>
      </c>
      <c r="T96" s="420">
        <f>T73</f>
        <v>5.9400000000000002E-4</v>
      </c>
      <c r="U96" s="472">
        <f>ROUND(R96*T96,2)</f>
        <v>-941.82</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6.6299999999999996E-4</v>
      </c>
      <c r="I98" s="101">
        <f t="shared" ref="I98" si="16">ROUND(F98*H98,2)</f>
        <v>0</v>
      </c>
      <c r="N98" s="532" t="s">
        <v>495</v>
      </c>
      <c r="O98" s="532"/>
      <c r="P98" s="532"/>
      <c r="Q98" s="44"/>
      <c r="R98" s="535">
        <f>F98</f>
        <v>0</v>
      </c>
      <c r="S98" s="533" t="s">
        <v>6</v>
      </c>
      <c r="T98" s="420">
        <f>T70</f>
        <v>6.6299999999999996E-4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25.500699999999998</v>
      </c>
      <c r="D104" s="611"/>
      <c r="E104" s="46">
        <f>H8</f>
        <v>1.0407999999999999</v>
      </c>
      <c r="F104" s="302">
        <f>'1461'!F104</f>
        <v>950.92</v>
      </c>
      <c r="G104" s="39" t="s">
        <v>12</v>
      </c>
      <c r="H104" s="101">
        <f>ROUND(C104*E104*F104,2)</f>
        <v>25238.49</v>
      </c>
      <c r="I104" s="104"/>
      <c r="N104" s="28" t="s">
        <v>17</v>
      </c>
      <c r="O104" s="47">
        <f>T14+T15+T20+T23+T26</f>
        <v>6.3199999999999994</v>
      </c>
      <c r="P104" s="626">
        <f>T8</f>
        <v>1.0407999999999999</v>
      </c>
      <c r="Q104" s="626"/>
      <c r="R104" s="48">
        <f>F104</f>
        <v>950.92</v>
      </c>
      <c r="S104" s="40" t="s">
        <v>12</v>
      </c>
      <c r="T104" s="478">
        <f>ROUND(O104*P104*R104,2)</f>
        <v>6255.01</v>
      </c>
      <c r="U104" s="102"/>
    </row>
    <row r="105" spans="1:21" x14ac:dyDescent="0.25">
      <c r="A105" s="49"/>
      <c r="B105" s="49" t="s">
        <v>104</v>
      </c>
      <c r="C105" s="611">
        <f>H16+H17+H21+H24+H27</f>
        <v>50.085099999999997</v>
      </c>
      <c r="D105" s="611"/>
      <c r="E105" s="46">
        <f>H8</f>
        <v>1.0407999999999999</v>
      </c>
      <c r="F105" s="302">
        <f>'1461'!F105</f>
        <v>907.92</v>
      </c>
      <c r="G105" s="39" t="s">
        <v>12</v>
      </c>
      <c r="H105" s="101">
        <f>ROUND(C105*E105*F105,2)</f>
        <v>47328.57</v>
      </c>
      <c r="N105" s="50" t="s">
        <v>13</v>
      </c>
      <c r="O105" s="47">
        <f>T16+T17+T21+T24+T27</f>
        <v>11.71</v>
      </c>
      <c r="P105" s="626">
        <f>T8</f>
        <v>1.0407999999999999</v>
      </c>
      <c r="Q105" s="626"/>
      <c r="R105" s="48">
        <f>F105</f>
        <v>907.92</v>
      </c>
      <c r="S105" s="40" t="s">
        <v>12</v>
      </c>
      <c r="T105" s="478">
        <f>ROUND(O105*P105*R105,2)</f>
        <v>11065.52</v>
      </c>
      <c r="U105" s="51"/>
    </row>
    <row r="106" spans="1:21" ht="16.5" thickBot="1" x14ac:dyDescent="0.3">
      <c r="A106" s="52"/>
      <c r="B106" s="52" t="s">
        <v>103</v>
      </c>
      <c r="C106" s="611">
        <f>H18+H19+H22+H25+H28+H29</f>
        <v>582.15129999999999</v>
      </c>
      <c r="D106" s="611"/>
      <c r="E106" s="46">
        <f>H8</f>
        <v>1.0407999999999999</v>
      </c>
      <c r="F106" s="302">
        <f>'1461'!F106</f>
        <v>910.12</v>
      </c>
      <c r="G106" s="39" t="s">
        <v>12</v>
      </c>
      <c r="H106" s="94">
        <f>ROUND(C106*E106*F106,2)</f>
        <v>551444.5</v>
      </c>
      <c r="N106" s="53" t="s">
        <v>14</v>
      </c>
      <c r="O106" s="54">
        <f>T18+T19+T22+T25+T28+T29</f>
        <v>121.39</v>
      </c>
      <c r="P106" s="626">
        <f>T8</f>
        <v>1.0407999999999999</v>
      </c>
      <c r="Q106" s="626"/>
      <c r="R106" s="48">
        <f>F106</f>
        <v>910.12</v>
      </c>
      <c r="S106" s="40" t="s">
        <v>12</v>
      </c>
      <c r="T106" s="478">
        <f>ROUND(O106*P106*R106,2)</f>
        <v>114987.03</v>
      </c>
      <c r="U106" s="51"/>
    </row>
    <row r="107" spans="1:21" ht="16.5" thickBot="1" x14ac:dyDescent="0.3">
      <c r="A107" s="55"/>
      <c r="B107" s="122" t="s">
        <v>102</v>
      </c>
      <c r="C107" s="601">
        <f>SUM(C104:C106)</f>
        <v>657.73709999999994</v>
      </c>
      <c r="D107" s="601"/>
      <c r="E107" s="123"/>
      <c r="F107" s="123"/>
      <c r="G107" s="123"/>
      <c r="H107" s="124" t="s">
        <v>100</v>
      </c>
      <c r="I107" s="101">
        <f>IF(A1=75,0,H106+H105+H104)</f>
        <v>624011.55999999994</v>
      </c>
      <c r="N107" s="56" t="s">
        <v>89</v>
      </c>
      <c r="O107" s="57">
        <f>SUM(O104:O106)</f>
        <v>139.42000000000002</v>
      </c>
      <c r="P107" s="627" t="s">
        <v>16</v>
      </c>
      <c r="Q107" s="628"/>
      <c r="R107" s="628"/>
      <c r="S107" s="628"/>
      <c r="T107" s="628"/>
      <c r="U107" s="472">
        <f>IF(N1=75,0,T106+T105+T104)</f>
        <v>132307.56</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5089095.6499999985</v>
      </c>
      <c r="N128" s="452"/>
      <c r="O128" s="451"/>
      <c r="P128" s="451"/>
      <c r="Q128" s="305"/>
      <c r="R128" s="305"/>
      <c r="S128" s="305"/>
      <c r="T128" s="305"/>
      <c r="U128" s="479">
        <f>SUM(U30,U85,U88,U90,U92,U94,U96,U107,U113,U114,U124,U126)</f>
        <v>1110175.6700000002</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4846042.6899999985</v>
      </c>
      <c r="N130" s="616" t="s">
        <v>432</v>
      </c>
      <c r="O130" s="616"/>
      <c r="P130" s="616"/>
      <c r="Q130" s="616"/>
      <c r="R130" s="616"/>
      <c r="S130" s="616"/>
      <c r="T130" s="616"/>
      <c r="U130" s="132">
        <f>U128-U53</f>
        <v>1058655.9300000002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1058655.9300000002</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1058655.9300000002</v>
      </c>
      <c r="I135" s="94">
        <f>ROUND(IF(E30=0,0,IF(E30&gt;250,-(((250/E30)*H135)*IF(G135="H",0.02,0.05)),IF(G135="H",-0.02*H135,-0.05*H135))),2)</f>
        <v>-52932.800000000003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5036162.8499999987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-837864.14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4198298.709999999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419829.87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362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36.5</v>
      </c>
      <c r="D19" s="143">
        <v>35.97</v>
      </c>
      <c r="E19" s="116">
        <f t="shared" si="1"/>
        <v>72.47</v>
      </c>
      <c r="F19" s="678">
        <f>'1461'!F19:G19</f>
        <v>0.97799999999999998</v>
      </c>
      <c r="G19" s="678"/>
      <c r="H19" s="80">
        <f t="shared" si="2"/>
        <v>70.875699999999995</v>
      </c>
      <c r="I19" s="101">
        <f t="shared" si="3"/>
        <v>393252.69</v>
      </c>
      <c r="J19" s="65" t="str">
        <f>IF(ROUND(E19,2)=ROUND(SUM(E63:E65),2)," ","CHECK 4-8 LINES BELOW")</f>
        <v xml:space="preserve"> </v>
      </c>
      <c r="N19" s="616" t="s">
        <v>25</v>
      </c>
      <c r="O19" s="616"/>
      <c r="P19" s="657">
        <f t="shared" si="0"/>
        <v>72.47</v>
      </c>
      <c r="Q19" s="657"/>
      <c r="R19" s="662">
        <v>1</v>
      </c>
      <c r="S19" s="662"/>
      <c r="T19" s="95">
        <f t="shared" si="4"/>
        <v>72.47</v>
      </c>
      <c r="U19" s="471">
        <f t="shared" si="5"/>
        <v>402098.63</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36.5</v>
      </c>
      <c r="D30" s="94">
        <f>SUM(D14:D29)</f>
        <v>35.97</v>
      </c>
      <c r="E30" s="94">
        <f>SUM(E14:E29)</f>
        <v>72.47</v>
      </c>
      <c r="F30" s="597"/>
      <c r="G30" s="597"/>
      <c r="H30" s="99">
        <f>SUM(H14:H29)</f>
        <v>70.875699999999995</v>
      </c>
      <c r="I30" s="94">
        <f>SUM(I14:I29)</f>
        <v>393252.69</v>
      </c>
      <c r="N30" s="659" t="s">
        <v>5</v>
      </c>
      <c r="O30" s="659"/>
      <c r="P30" s="660">
        <f>SUM(P14:P29)</f>
        <v>72.47</v>
      </c>
      <c r="Q30" s="660"/>
      <c r="R30" s="632"/>
      <c r="S30" s="632"/>
      <c r="T30" s="100">
        <f>SUM(T14:T29)</f>
        <v>72.47</v>
      </c>
      <c r="U30" s="472">
        <f>SUM(U14:U29)</f>
        <v>402098.63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70.875699999999995</v>
      </c>
      <c r="F46" s="34"/>
      <c r="G46" s="106"/>
      <c r="H46" s="107" t="s">
        <v>98</v>
      </c>
      <c r="I46" s="94">
        <f>SUM(I44,I30)</f>
        <v>393252.69</v>
      </c>
      <c r="N46" s="618" t="s">
        <v>44</v>
      </c>
      <c r="O46" s="618"/>
      <c r="P46" s="618"/>
      <c r="Q46" s="618"/>
      <c r="R46" s="35">
        <f>R44+T30</f>
        <v>72.47</v>
      </c>
      <c r="S46" s="632" t="s">
        <v>42</v>
      </c>
      <c r="T46" s="632"/>
      <c r="U46" s="108">
        <f>SUM(U44,U30)</f>
        <v>402098.63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393252.69</v>
      </c>
      <c r="G51" s="109" t="s">
        <v>6</v>
      </c>
      <c r="H51" s="400">
        <v>5.5899999999999998E-2</v>
      </c>
      <c r="I51" s="101">
        <f>ROUND(F51*H51,2)</f>
        <v>21982.83</v>
      </c>
      <c r="N51" s="405"/>
      <c r="O51" s="406" t="s">
        <v>513</v>
      </c>
      <c r="P51" s="28"/>
      <c r="Q51" s="44" t="s">
        <v>399</v>
      </c>
      <c r="R51" s="407">
        <f>U30</f>
        <v>402098.63</v>
      </c>
      <c r="S51" s="408" t="s">
        <v>6</v>
      </c>
      <c r="T51" s="409">
        <v>5.5899999999999998E-2</v>
      </c>
      <c r="U51" s="401">
        <f>ROUND(R51*T51,2)</f>
        <v>22477.31</v>
      </c>
    </row>
    <row r="52" spans="1:22" x14ac:dyDescent="0.25">
      <c r="A52" s="26"/>
      <c r="B52" s="558" t="s">
        <v>522</v>
      </c>
      <c r="C52" s="26"/>
      <c r="D52" s="26"/>
      <c r="E52" s="43" t="s">
        <v>399</v>
      </c>
      <c r="F52" s="399">
        <v>393252.69</v>
      </c>
      <c r="G52" s="109" t="s">
        <v>6</v>
      </c>
      <c r="H52" s="400">
        <v>1.0699999999999999E-2</v>
      </c>
      <c r="I52" s="101">
        <f>ROUND(F52*H52,2)</f>
        <v>4207.8</v>
      </c>
      <c r="N52" s="28"/>
      <c r="O52" s="559" t="s">
        <v>521</v>
      </c>
      <c r="P52" s="28"/>
      <c r="Q52" s="44" t="s">
        <v>399</v>
      </c>
      <c r="R52" s="407">
        <f>U30</f>
        <v>402098.63</v>
      </c>
      <c r="S52" s="408" t="s">
        <v>6</v>
      </c>
      <c r="T52" s="409">
        <v>1.0699999999999999E-2</v>
      </c>
      <c r="U52" s="410">
        <f>ROUND(R52*T52,2)</f>
        <v>4302.46</v>
      </c>
    </row>
    <row r="53" spans="1:22" x14ac:dyDescent="0.25">
      <c r="A53" s="26"/>
      <c r="B53" s="81" t="s">
        <v>400</v>
      </c>
      <c r="C53" s="26"/>
      <c r="D53" s="26"/>
      <c r="E53" s="43"/>
      <c r="F53" s="399"/>
      <c r="G53" s="109"/>
      <c r="H53" s="400"/>
      <c r="I53" s="97">
        <f>SUM(I51:I52)</f>
        <v>26190.63</v>
      </c>
      <c r="N53" s="28"/>
      <c r="O53" s="382" t="s">
        <v>400</v>
      </c>
      <c r="P53" s="28"/>
      <c r="Q53" s="44"/>
      <c r="R53" s="407"/>
      <c r="S53" s="408"/>
      <c r="T53" s="409"/>
      <c r="U53" s="401">
        <f>SUM(U51:U52)</f>
        <v>26779.77</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v>
      </c>
      <c r="D63" s="143">
        <v>0</v>
      </c>
      <c r="E63" s="116">
        <f t="shared" si="10"/>
        <v>1</v>
      </c>
      <c r="F63" s="443" t="s">
        <v>14</v>
      </c>
      <c r="G63" s="442">
        <v>251</v>
      </c>
      <c r="H63" s="456">
        <f>'1461'!H63</f>
        <v>835</v>
      </c>
      <c r="I63" s="101">
        <f t="shared" si="11"/>
        <v>835</v>
      </c>
      <c r="N63" s="634"/>
      <c r="O63" s="634"/>
      <c r="P63" s="637"/>
      <c r="Q63" s="637"/>
      <c r="R63" s="40" t="s">
        <v>14</v>
      </c>
      <c r="S63" s="448">
        <v>251</v>
      </c>
      <c r="T63" s="459">
        <f t="shared" si="12"/>
        <v>835</v>
      </c>
      <c r="U63" s="473">
        <f t="shared" si="13"/>
        <v>0</v>
      </c>
      <c r="V63" s="423"/>
    </row>
    <row r="64" spans="1:22" x14ac:dyDescent="0.25">
      <c r="A64" s="604"/>
      <c r="B64" s="604"/>
      <c r="C64" s="143">
        <v>3</v>
      </c>
      <c r="D64" s="143">
        <v>4.42</v>
      </c>
      <c r="E64" s="116">
        <f t="shared" si="10"/>
        <v>7.42</v>
      </c>
      <c r="F64" s="443" t="s">
        <v>14</v>
      </c>
      <c r="G64" s="442">
        <v>252</v>
      </c>
      <c r="H64" s="456">
        <f>'1461'!H64</f>
        <v>3168</v>
      </c>
      <c r="I64" s="101">
        <f t="shared" si="11"/>
        <v>23506.560000000001</v>
      </c>
      <c r="N64" s="634"/>
      <c r="O64" s="634"/>
      <c r="P64" s="637"/>
      <c r="Q64" s="637"/>
      <c r="R64" s="40" t="s">
        <v>14</v>
      </c>
      <c r="S64" s="448">
        <v>252</v>
      </c>
      <c r="T64" s="459">
        <f t="shared" si="12"/>
        <v>3168</v>
      </c>
      <c r="U64" s="473">
        <f t="shared" si="13"/>
        <v>0</v>
      </c>
      <c r="V64" s="423"/>
    </row>
    <row r="65" spans="1:22" ht="16.5" thickBot="1" x14ac:dyDescent="0.3">
      <c r="A65" s="604"/>
      <c r="B65" s="604"/>
      <c r="C65" s="143">
        <v>32.5</v>
      </c>
      <c r="D65" s="143">
        <v>31.55</v>
      </c>
      <c r="E65" s="116">
        <f t="shared" si="10"/>
        <v>64.05</v>
      </c>
      <c r="F65" s="443" t="s">
        <v>14</v>
      </c>
      <c r="G65" s="442">
        <v>253</v>
      </c>
      <c r="H65" s="456">
        <f>'1461'!H65</f>
        <v>6685</v>
      </c>
      <c r="I65" s="101">
        <f t="shared" si="11"/>
        <v>428174.25</v>
      </c>
      <c r="N65" s="634"/>
      <c r="O65" s="634"/>
      <c r="P65" s="638"/>
      <c r="Q65" s="638"/>
      <c r="R65" s="40" t="s">
        <v>14</v>
      </c>
      <c r="S65" s="448">
        <v>253</v>
      </c>
      <c r="T65" s="459">
        <f t="shared" si="12"/>
        <v>6685</v>
      </c>
      <c r="U65" s="474">
        <f t="shared" si="13"/>
        <v>0</v>
      </c>
      <c r="V65" s="423"/>
    </row>
    <row r="66" spans="1:22" ht="16.5" thickBot="1" x14ac:dyDescent="0.3">
      <c r="A66" s="439"/>
      <c r="C66" s="97">
        <f>SUM(C57:C65)</f>
        <v>36.5</v>
      </c>
      <c r="D66" s="97">
        <f>SUM(D57:D65)</f>
        <v>35.97</v>
      </c>
      <c r="E66" s="97">
        <f>SUM(E57:E65)</f>
        <v>72.47</v>
      </c>
      <c r="F66" s="605" t="s">
        <v>446</v>
      </c>
      <c r="G66" s="605"/>
      <c r="H66" s="605"/>
      <c r="I66" s="97">
        <f>SUM(I57:I65)</f>
        <v>452515.81</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72.47</v>
      </c>
      <c r="D69" s="580" t="s">
        <v>412</v>
      </c>
      <c r="E69" s="580"/>
      <c r="F69" s="580"/>
      <c r="G69" s="580"/>
      <c r="H69" s="299">
        <f>'1461'!H69</f>
        <v>210228.91</v>
      </c>
      <c r="I69" s="113"/>
      <c r="N69" s="615" t="s">
        <v>405</v>
      </c>
      <c r="O69" s="616"/>
      <c r="P69" s="41">
        <f>P30</f>
        <v>72.47</v>
      </c>
      <c r="Q69" s="621" t="s">
        <v>407</v>
      </c>
      <c r="R69" s="622"/>
      <c r="S69" s="622"/>
      <c r="T69" s="619">
        <f>H69</f>
        <v>210228.91</v>
      </c>
      <c r="U69" s="619"/>
    </row>
    <row r="70" spans="1:22" x14ac:dyDescent="0.25">
      <c r="B70" s="69"/>
      <c r="G70" s="42" t="s">
        <v>12</v>
      </c>
      <c r="H70" s="114">
        <f>ROUND(C69/H69,6)</f>
        <v>3.4499999999999998E-4</v>
      </c>
      <c r="I70" s="115"/>
      <c r="N70" s="616"/>
      <c r="O70" s="616"/>
      <c r="P70" s="616"/>
      <c r="Q70" s="616"/>
      <c r="R70" s="616"/>
      <c r="S70" s="616"/>
      <c r="T70" s="620">
        <f>ROUND(P69/T69,6)</f>
        <v>3.4499999999999998E-4</v>
      </c>
      <c r="U70" s="620"/>
    </row>
    <row r="71" spans="1:22" x14ac:dyDescent="0.25">
      <c r="A71" s="441" t="s">
        <v>449</v>
      </c>
      <c r="N71" s="452" t="s">
        <v>457</v>
      </c>
      <c r="O71" s="51"/>
      <c r="P71" s="51"/>
      <c r="Q71" s="51"/>
      <c r="R71" s="51"/>
      <c r="S71" s="51"/>
      <c r="T71" s="51"/>
      <c r="U71" s="51"/>
    </row>
    <row r="72" spans="1:22" x14ac:dyDescent="0.25">
      <c r="A72" s="599" t="s">
        <v>402</v>
      </c>
      <c r="B72" s="593"/>
      <c r="C72" s="112">
        <f>H30</f>
        <v>70.875699999999995</v>
      </c>
      <c r="D72" s="580" t="s">
        <v>413</v>
      </c>
      <c r="E72" s="580"/>
      <c r="F72" s="580"/>
      <c r="G72" s="580"/>
      <c r="H72" s="300">
        <f>'1461'!H72</f>
        <v>234891.44</v>
      </c>
      <c r="I72" s="116"/>
      <c r="N72" s="615" t="s">
        <v>406</v>
      </c>
      <c r="O72" s="616"/>
      <c r="P72" s="41">
        <f>T30</f>
        <v>72.47</v>
      </c>
      <c r="Q72" s="621" t="s">
        <v>408</v>
      </c>
      <c r="R72" s="622"/>
      <c r="S72" s="622"/>
      <c r="T72" s="619">
        <f>H72</f>
        <v>234891.44</v>
      </c>
      <c r="U72" s="619"/>
    </row>
    <row r="73" spans="1:22" x14ac:dyDescent="0.25">
      <c r="G73" s="42" t="s">
        <v>12</v>
      </c>
      <c r="H73" s="114">
        <f>ROUND(C72/H72,6)</f>
        <v>3.0200000000000002E-4</v>
      </c>
      <c r="I73" s="114"/>
      <c r="N73" s="616"/>
      <c r="O73" s="616"/>
      <c r="P73" s="616"/>
      <c r="Q73" s="616"/>
      <c r="R73" s="616"/>
      <c r="S73" s="616"/>
      <c r="T73" s="620">
        <f>ROUND(P72/T72,6)</f>
        <v>3.0899999999999998E-4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72.47</v>
      </c>
      <c r="D75" s="572" t="s">
        <v>414</v>
      </c>
      <c r="E75" s="572"/>
      <c r="F75" s="572"/>
      <c r="G75" s="572"/>
      <c r="H75" s="299">
        <f>'1461'!H75</f>
        <v>187665.41</v>
      </c>
      <c r="I75" s="113"/>
      <c r="N75" s="615" t="s">
        <v>404</v>
      </c>
      <c r="O75" s="616"/>
      <c r="P75" s="41">
        <f>P30</f>
        <v>72.47</v>
      </c>
      <c r="Q75" s="651" t="s">
        <v>409</v>
      </c>
      <c r="R75" s="652"/>
      <c r="S75" s="652"/>
      <c r="T75" s="619">
        <f>H75</f>
        <v>187665.41</v>
      </c>
      <c r="U75" s="619"/>
    </row>
    <row r="76" spans="1:22" x14ac:dyDescent="0.25">
      <c r="B76" s="69"/>
      <c r="G76" s="42" t="s">
        <v>12</v>
      </c>
      <c r="H76" s="114">
        <f>ROUND(C75/H75,6)</f>
        <v>3.86E-4</v>
      </c>
      <c r="I76" s="115"/>
      <c r="N76" s="616"/>
      <c r="O76" s="616"/>
      <c r="P76" s="616"/>
      <c r="Q76" s="616"/>
      <c r="R76" s="616"/>
      <c r="S76" s="616"/>
      <c r="T76" s="620">
        <f>ROUND(P75/T75,6)</f>
        <v>3.86E-4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72.47</v>
      </c>
      <c r="D78" s="600" t="s">
        <v>415</v>
      </c>
      <c r="E78" s="600"/>
      <c r="F78" s="600"/>
      <c r="G78" s="600"/>
      <c r="H78" s="299">
        <f>'1461'!H78</f>
        <v>209892.26</v>
      </c>
      <c r="I78" s="113"/>
      <c r="N78" s="615" t="s">
        <v>404</v>
      </c>
      <c r="O78" s="616"/>
      <c r="P78" s="41">
        <f>P30</f>
        <v>72.47</v>
      </c>
      <c r="Q78" s="649" t="s">
        <v>410</v>
      </c>
      <c r="R78" s="650"/>
      <c r="S78" s="650"/>
      <c r="T78" s="619">
        <f>H78</f>
        <v>209892.26</v>
      </c>
      <c r="U78" s="619"/>
    </row>
    <row r="79" spans="1:22" x14ac:dyDescent="0.25">
      <c r="B79" s="69"/>
      <c r="G79" s="42" t="s">
        <v>12</v>
      </c>
      <c r="H79" s="114">
        <f>ROUND(C78/H78,6)</f>
        <v>3.4499999999999998E-4</v>
      </c>
      <c r="I79" s="115"/>
      <c r="N79" s="616"/>
      <c r="O79" s="616"/>
      <c r="P79" s="616"/>
      <c r="Q79" s="616"/>
      <c r="R79" s="616"/>
      <c r="S79" s="616"/>
      <c r="T79" s="620">
        <f>ROUND(P78/T78,6)</f>
        <v>3.4499999999999998E-4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72.47</v>
      </c>
      <c r="D81" s="572" t="s">
        <v>416</v>
      </c>
      <c r="E81" s="572"/>
      <c r="F81" s="572"/>
      <c r="G81" s="572"/>
      <c r="H81" s="299">
        <f>'1461'!H81</f>
        <v>187328.76</v>
      </c>
      <c r="I81" s="113"/>
      <c r="N81" s="615" t="s">
        <v>417</v>
      </c>
      <c r="O81" s="616"/>
      <c r="P81" s="41">
        <f>P30</f>
        <v>72.47</v>
      </c>
      <c r="Q81" s="651" t="s">
        <v>418</v>
      </c>
      <c r="R81" s="652"/>
      <c r="S81" s="652"/>
      <c r="T81" s="619">
        <f>H81</f>
        <v>187328.76</v>
      </c>
      <c r="U81" s="619"/>
    </row>
    <row r="82" spans="1:21" x14ac:dyDescent="0.25">
      <c r="B82" s="69"/>
      <c r="G82" s="42" t="s">
        <v>12</v>
      </c>
      <c r="H82" s="114">
        <f>ROUND(C81/H81,6)</f>
        <v>3.8699999999999997E-4</v>
      </c>
      <c r="I82" s="115"/>
      <c r="N82" s="616"/>
      <c r="O82" s="616"/>
      <c r="P82" s="616"/>
      <c r="Q82" s="616"/>
      <c r="R82" s="616"/>
      <c r="S82" s="616"/>
      <c r="T82" s="620">
        <f>ROUND(P81/T81,6)</f>
        <v>3.8699999999999997E-4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3.4499999999999998E-4</v>
      </c>
      <c r="I85" s="101">
        <f>ROUND(F85*H85,2)</f>
        <v>15926.48</v>
      </c>
      <c r="N85" s="452" t="s">
        <v>453</v>
      </c>
      <c r="O85" s="51"/>
      <c r="P85" s="51"/>
      <c r="Q85" s="44"/>
      <c r="R85" s="418">
        <f>F85</f>
        <v>46163704</v>
      </c>
      <c r="S85" s="38" t="s">
        <v>6</v>
      </c>
      <c r="T85" s="420">
        <f>T79</f>
        <v>3.4499999999999998E-4</v>
      </c>
      <c r="U85" s="472">
        <f>ROUND(R85*T85,2)</f>
        <v>15926.48</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3.4499999999999998E-4</v>
      </c>
      <c r="I88" s="101">
        <f>ROUND(F88*H88,2)</f>
        <v>0</v>
      </c>
      <c r="N88" s="653" t="s">
        <v>99</v>
      </c>
      <c r="O88" s="616"/>
      <c r="P88" s="616"/>
      <c r="Q88" s="44"/>
      <c r="R88" s="418">
        <f>F88</f>
        <v>0</v>
      </c>
      <c r="S88" s="38" t="s">
        <v>6</v>
      </c>
      <c r="T88" s="420">
        <f>T70</f>
        <v>3.4499999999999998E-4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3.8699999999999997E-4</v>
      </c>
      <c r="I90" s="101">
        <f>ROUND(F90*H90,2)</f>
        <v>7369.26</v>
      </c>
      <c r="N90" s="452" t="s">
        <v>454</v>
      </c>
      <c r="O90" s="51"/>
      <c r="P90" s="51"/>
      <c r="Q90" s="44"/>
      <c r="R90" s="418">
        <f>F90</f>
        <v>19042026</v>
      </c>
      <c r="S90" s="38" t="s">
        <v>6</v>
      </c>
      <c r="T90" s="420">
        <f>T82</f>
        <v>3.8699999999999997E-4</v>
      </c>
      <c r="U90" s="472">
        <f>ROUND(R90*T90,2)</f>
        <v>7369.26</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3.86E-4</v>
      </c>
      <c r="I92" s="101">
        <f t="shared" ref="I92:I96" si="14">ROUND(F92*H92,2)</f>
        <v>4416.28</v>
      </c>
      <c r="N92" s="452" t="s">
        <v>455</v>
      </c>
      <c r="O92" s="51"/>
      <c r="P92" s="51"/>
      <c r="Q92" s="44"/>
      <c r="R92" s="418">
        <f t="shared" ref="R92:R96" si="15">F92</f>
        <v>11441151</v>
      </c>
      <c r="S92" s="38" t="s">
        <v>6</v>
      </c>
      <c r="T92" s="420">
        <f>T76</f>
        <v>3.86E-4</v>
      </c>
      <c r="U92" s="472">
        <f>ROUND(R92*T92,2)</f>
        <v>4416.28</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3.0200000000000002E-4</v>
      </c>
      <c r="I94" s="101">
        <f t="shared" si="14"/>
        <v>77238.559999999998</v>
      </c>
      <c r="N94" s="616" t="s">
        <v>420</v>
      </c>
      <c r="O94" s="616"/>
      <c r="P94" s="616"/>
      <c r="Q94" s="44"/>
      <c r="R94" s="418">
        <f t="shared" si="15"/>
        <v>255756816</v>
      </c>
      <c r="S94" s="38" t="s">
        <v>6</v>
      </c>
      <c r="T94" s="420">
        <f>T73</f>
        <v>3.0899999999999998E-4</v>
      </c>
      <c r="U94" s="472">
        <f>ROUND(R94*T94,2)</f>
        <v>79028.86</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3.0200000000000002E-4</v>
      </c>
      <c r="I96" s="101">
        <f t="shared" si="14"/>
        <v>-478.84</v>
      </c>
      <c r="N96" s="615" t="s">
        <v>421</v>
      </c>
      <c r="O96" s="616"/>
      <c r="P96" s="616"/>
      <c r="Q96" s="44"/>
      <c r="R96" s="418">
        <f t="shared" si="15"/>
        <v>-1585559</v>
      </c>
      <c r="S96" s="38" t="s">
        <v>6</v>
      </c>
      <c r="T96" s="420">
        <f>T73</f>
        <v>3.0899999999999998E-4</v>
      </c>
      <c r="U96" s="472">
        <f>ROUND(R96*T96,2)</f>
        <v>-489.94</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3.4499999999999998E-4</v>
      </c>
      <c r="I98" s="101">
        <f t="shared" ref="I98" si="16">ROUND(F98*H98,2)</f>
        <v>0</v>
      </c>
      <c r="N98" s="532" t="s">
        <v>495</v>
      </c>
      <c r="O98" s="532"/>
      <c r="P98" s="532"/>
      <c r="Q98" s="44"/>
      <c r="R98" s="535">
        <f>F98</f>
        <v>0</v>
      </c>
      <c r="S98" s="533" t="s">
        <v>6</v>
      </c>
      <c r="T98" s="420">
        <f>T70</f>
        <v>3.4499999999999998E-4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70.875699999999995</v>
      </c>
      <c r="D106" s="611"/>
      <c r="E106" s="46">
        <f>H8</f>
        <v>1.0407999999999999</v>
      </c>
      <c r="F106" s="302">
        <f>'1461'!F106</f>
        <v>910.12</v>
      </c>
      <c r="G106" s="39" t="s">
        <v>12</v>
      </c>
      <c r="H106" s="94">
        <f>ROUND(C106*E106*F106,2)</f>
        <v>67137.210000000006</v>
      </c>
      <c r="N106" s="53" t="s">
        <v>14</v>
      </c>
      <c r="O106" s="54">
        <f>T18+T19+T22+T25+T28+T29</f>
        <v>72.47</v>
      </c>
      <c r="P106" s="626">
        <f>T8</f>
        <v>1.0407999999999999</v>
      </c>
      <c r="Q106" s="626"/>
      <c r="R106" s="48">
        <f>F106</f>
        <v>910.12</v>
      </c>
      <c r="S106" s="40" t="s">
        <v>12</v>
      </c>
      <c r="T106" s="478">
        <f>ROUND(O106*P106*R106,2)</f>
        <v>68647.42</v>
      </c>
      <c r="U106" s="51"/>
    </row>
    <row r="107" spans="1:21" ht="16.5" thickBot="1" x14ac:dyDescent="0.3">
      <c r="A107" s="55"/>
      <c r="B107" s="122" t="s">
        <v>102</v>
      </c>
      <c r="C107" s="601">
        <f>SUM(C104:C106)</f>
        <v>70.875699999999995</v>
      </c>
      <c r="D107" s="601"/>
      <c r="E107" s="123"/>
      <c r="F107" s="123"/>
      <c r="G107" s="123"/>
      <c r="H107" s="124" t="s">
        <v>100</v>
      </c>
      <c r="I107" s="101">
        <f>IF(A1=75,0,H106+H105+H104)</f>
        <v>67137.210000000006</v>
      </c>
      <c r="N107" s="56" t="s">
        <v>89</v>
      </c>
      <c r="O107" s="57">
        <f>SUM(O104:O106)</f>
        <v>72.47</v>
      </c>
      <c r="P107" s="627" t="s">
        <v>16</v>
      </c>
      <c r="Q107" s="628"/>
      <c r="R107" s="628"/>
      <c r="S107" s="628"/>
      <c r="T107" s="628"/>
      <c r="U107" s="472">
        <f>IF(N1=75,0,T106+T105+T104)</f>
        <v>68647.42</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70</v>
      </c>
      <c r="D113" s="143">
        <v>69</v>
      </c>
      <c r="E113" s="116">
        <f>(C113+D113)/2</f>
        <v>69.5</v>
      </c>
      <c r="F113" s="126" t="s">
        <v>30</v>
      </c>
      <c r="G113" s="303">
        <f>'1461'!G113</f>
        <v>567</v>
      </c>
      <c r="I113" s="101">
        <f>ROUND(G113*E113,2)</f>
        <v>39406.5</v>
      </c>
      <c r="N113" s="645" t="s">
        <v>52</v>
      </c>
      <c r="O113" s="645"/>
      <c r="P113" s="625">
        <f>IF(H133=1,E113,0)</f>
        <v>69.5</v>
      </c>
      <c r="Q113" s="625"/>
      <c r="R113" s="625"/>
      <c r="S113" s="83" t="s">
        <v>30</v>
      </c>
      <c r="T113" s="58">
        <f>G113</f>
        <v>567</v>
      </c>
      <c r="U113" s="472">
        <f>ROUND(T113*P113,2)</f>
        <v>39406.5</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1056783.9500000002</v>
      </c>
      <c r="N128" s="452"/>
      <c r="O128" s="451"/>
      <c r="P128" s="451"/>
      <c r="Q128" s="305"/>
      <c r="R128" s="305"/>
      <c r="S128" s="305"/>
      <c r="T128" s="305"/>
      <c r="U128" s="479">
        <f>SUM(U30,U85,U88,U90,U92,U94,U96,U107,U113,U114,U124,U126)</f>
        <v>616403.49</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1030593.3200000002</v>
      </c>
      <c r="N130" s="616" t="s">
        <v>432</v>
      </c>
      <c r="O130" s="616"/>
      <c r="P130" s="616"/>
      <c r="Q130" s="616"/>
      <c r="R130" s="616"/>
      <c r="S130" s="616"/>
      <c r="T130" s="616"/>
      <c r="U130" s="132">
        <f>U128-U53</f>
        <v>589623.72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589623.72</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589623.72</v>
      </c>
      <c r="I135" s="94">
        <f>ROUND(IF(E30=0,0,IF(E30&gt;250,-(((250/E30)*H135)*IF(G135="H",0.02,0.05)),IF(G135="H",-0.02*H135,-0.05*H135))),2)</f>
        <v>-29481.19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1027302.7600000002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-171087.77000000002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856214.99000000022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85621.5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116</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179.36</v>
      </c>
      <c r="D14" s="141">
        <v>179.66</v>
      </c>
      <c r="E14" s="187">
        <f>IF(D$30=0,C14*2,C14+D14)</f>
        <v>359.02</v>
      </c>
      <c r="F14" s="682">
        <f>'1461'!F14:G14</f>
        <v>1.1180000000000001</v>
      </c>
      <c r="G14" s="682"/>
      <c r="H14" s="145">
        <f>ROUND(E14*F14,4)</f>
        <v>401.38440000000003</v>
      </c>
      <c r="I14" s="111">
        <f>ROUND(ROUND(ROUND(H14*$C$8,4)*($H$8),2)*(MAX($H$9,1)),2)</f>
        <v>2227074.91</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37.5</v>
      </c>
      <c r="D15" s="143">
        <v>40.49</v>
      </c>
      <c r="E15" s="116">
        <f t="shared" ref="E15:E29" si="1">IF(D$30=0,C15*2,C15+D15)</f>
        <v>77.990000000000009</v>
      </c>
      <c r="F15" s="678">
        <f>'1461'!F15:G15</f>
        <v>1.1180000000000001</v>
      </c>
      <c r="G15" s="678"/>
      <c r="H15" s="80">
        <f t="shared" ref="H15:H29" si="2">ROUND(E15*F15,4)</f>
        <v>87.192800000000005</v>
      </c>
      <c r="I15" s="101">
        <f t="shared" ref="I15:I29" si="3">ROUND(ROUND(ROUND(H15*$C$8,4)*($H$8),2)*(MAX($H$9,1)),2)</f>
        <v>483787.85</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225.72</v>
      </c>
      <c r="D16" s="143">
        <v>224.88</v>
      </c>
      <c r="E16" s="116">
        <f t="shared" si="1"/>
        <v>450.6</v>
      </c>
      <c r="F16" s="678">
        <f>'1461'!F16:G16</f>
        <v>1</v>
      </c>
      <c r="G16" s="678"/>
      <c r="H16" s="80">
        <f t="shared" si="2"/>
        <v>450.6</v>
      </c>
      <c r="I16" s="101">
        <f t="shared" si="3"/>
        <v>2500146.88</v>
      </c>
      <c r="N16" s="616" t="s">
        <v>22</v>
      </c>
      <c r="O16" s="616"/>
      <c r="P16" s="657">
        <f t="shared" si="0"/>
        <v>0</v>
      </c>
      <c r="Q16" s="657"/>
      <c r="R16" s="662">
        <v>1</v>
      </c>
      <c r="S16" s="662"/>
      <c r="T16" s="95">
        <f t="shared" si="4"/>
        <v>0</v>
      </c>
      <c r="U16" s="472">
        <f t="shared" si="5"/>
        <v>0</v>
      </c>
    </row>
    <row r="17" spans="1:21" x14ac:dyDescent="0.25">
      <c r="A17" s="593" t="s">
        <v>23</v>
      </c>
      <c r="B17" s="593"/>
      <c r="C17" s="143">
        <v>57.5</v>
      </c>
      <c r="D17" s="143">
        <v>57.71</v>
      </c>
      <c r="E17" s="116">
        <f t="shared" si="1"/>
        <v>115.21000000000001</v>
      </c>
      <c r="F17" s="678">
        <f>'1461'!F17:G17</f>
        <v>1</v>
      </c>
      <c r="G17" s="678"/>
      <c r="H17" s="80">
        <f t="shared" si="2"/>
        <v>115.21</v>
      </c>
      <c r="I17" s="101">
        <f t="shared" si="3"/>
        <v>639240.84</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17.14</v>
      </c>
      <c r="D26" s="143">
        <v>16.690000000000001</v>
      </c>
      <c r="E26" s="116">
        <f t="shared" si="1"/>
        <v>33.83</v>
      </c>
      <c r="F26" s="678">
        <f>'1461'!F26:G26</f>
        <v>1.1919999999999999</v>
      </c>
      <c r="G26" s="678"/>
      <c r="H26" s="80">
        <f t="shared" si="2"/>
        <v>40.325400000000002</v>
      </c>
      <c r="I26" s="101">
        <f t="shared" si="3"/>
        <v>223744.84</v>
      </c>
      <c r="N26" s="616" t="s">
        <v>85</v>
      </c>
      <c r="O26" s="616"/>
      <c r="P26" s="657">
        <f t="shared" si="0"/>
        <v>0</v>
      </c>
      <c r="Q26" s="657"/>
      <c r="R26" s="662">
        <v>1</v>
      </c>
      <c r="S26" s="662"/>
      <c r="T26" s="95">
        <f t="shared" si="4"/>
        <v>0</v>
      </c>
      <c r="U26" s="472">
        <f t="shared" si="5"/>
        <v>0</v>
      </c>
    </row>
    <row r="27" spans="1:21" x14ac:dyDescent="0.25">
      <c r="A27" s="593" t="s">
        <v>86</v>
      </c>
      <c r="B27" s="593"/>
      <c r="C27" s="143">
        <v>6.17</v>
      </c>
      <c r="D27" s="143">
        <v>4.8600000000000003</v>
      </c>
      <c r="E27" s="116">
        <f t="shared" si="1"/>
        <v>11.030000000000001</v>
      </c>
      <c r="F27" s="678">
        <f>'1461'!F27:G27</f>
        <v>1.1919999999999999</v>
      </c>
      <c r="G27" s="678"/>
      <c r="H27" s="80">
        <f t="shared" si="2"/>
        <v>13.1478</v>
      </c>
      <c r="I27" s="101">
        <f t="shared" si="3"/>
        <v>72950.36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523.39</v>
      </c>
      <c r="D30" s="94">
        <f>SUM(D14:D29)</f>
        <v>524.29</v>
      </c>
      <c r="E30" s="94">
        <f>SUM(E14:E29)</f>
        <v>1047.68</v>
      </c>
      <c r="F30" s="597"/>
      <c r="G30" s="597"/>
      <c r="H30" s="99">
        <f>SUM(H14:H29)</f>
        <v>1107.8604</v>
      </c>
      <c r="I30" s="94">
        <f>SUM(I14:I29)</f>
        <v>6146945.6800000006</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1107.8604</v>
      </c>
      <c r="F46" s="34"/>
      <c r="G46" s="106"/>
      <c r="H46" s="107" t="s">
        <v>98</v>
      </c>
      <c r="I46" s="94">
        <f>SUM(I44,I30)</f>
        <v>6146945.6800000006</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6146945.6800000006</v>
      </c>
      <c r="G51" s="109" t="s">
        <v>6</v>
      </c>
      <c r="H51" s="400">
        <v>5.5899999999999998E-2</v>
      </c>
      <c r="I51" s="101">
        <f>ROUND(F51*H51,2)</f>
        <v>343614.26</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6146945.6800000006</v>
      </c>
      <c r="G52" s="109" t="s">
        <v>6</v>
      </c>
      <c r="H52" s="400">
        <v>1.0699999999999999E-2</v>
      </c>
      <c r="I52" s="101">
        <f>ROUND(F52*H52,2)</f>
        <v>65772.320000000007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409386.58</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34</v>
      </c>
      <c r="D57" s="143">
        <v>36.479999999999997</v>
      </c>
      <c r="E57" s="116">
        <f t="shared" ref="E57:E65" si="10">IF(D$66=0,C57*2,C57+D57)</f>
        <v>70.47999999999999</v>
      </c>
      <c r="F57" s="442" t="s">
        <v>437</v>
      </c>
      <c r="G57" s="442">
        <v>251</v>
      </c>
      <c r="H57" s="456">
        <f>'1461'!H57</f>
        <v>1047</v>
      </c>
      <c r="I57" s="101">
        <f>ROUND(E57*H57,2)</f>
        <v>73792.56</v>
      </c>
      <c r="N57" s="633" t="s">
        <v>445</v>
      </c>
      <c r="O57" s="633"/>
      <c r="P57" s="636"/>
      <c r="Q57" s="636"/>
      <c r="R57" s="448" t="s">
        <v>437</v>
      </c>
      <c r="S57" s="448">
        <v>251</v>
      </c>
      <c r="T57" s="459">
        <f>H57</f>
        <v>1047</v>
      </c>
      <c r="U57" s="473">
        <f>ROUND(P57*T57,2)</f>
        <v>0</v>
      </c>
      <c r="V57" s="423"/>
    </row>
    <row r="58" spans="1:22" x14ac:dyDescent="0.25">
      <c r="A58" s="604"/>
      <c r="B58" s="604"/>
      <c r="C58" s="143">
        <v>3.5</v>
      </c>
      <c r="D58" s="143">
        <v>4.01</v>
      </c>
      <c r="E58" s="116">
        <f t="shared" si="10"/>
        <v>7.51</v>
      </c>
      <c r="F58" s="442" t="s">
        <v>437</v>
      </c>
      <c r="G58" s="442">
        <v>252</v>
      </c>
      <c r="H58" s="456">
        <f>'1461'!H58</f>
        <v>3380</v>
      </c>
      <c r="I58" s="101">
        <f t="shared" ref="I58:I65" si="11">ROUND(E58*H58,2)</f>
        <v>25383.8</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55.5</v>
      </c>
      <c r="D60" s="143">
        <v>55.6</v>
      </c>
      <c r="E60" s="116">
        <f t="shared" si="10"/>
        <v>111.1</v>
      </c>
      <c r="F60" s="443" t="s">
        <v>13</v>
      </c>
      <c r="G60" s="442">
        <v>251</v>
      </c>
      <c r="H60" s="456">
        <f>'1461'!H60</f>
        <v>1173</v>
      </c>
      <c r="I60" s="101">
        <f t="shared" si="11"/>
        <v>130320.3</v>
      </c>
      <c r="N60" s="634"/>
      <c r="O60" s="634"/>
      <c r="P60" s="637"/>
      <c r="Q60" s="637"/>
      <c r="R60" s="40" t="s">
        <v>13</v>
      </c>
      <c r="S60" s="448">
        <v>251</v>
      </c>
      <c r="T60" s="459">
        <f t="shared" si="12"/>
        <v>1173</v>
      </c>
      <c r="U60" s="473">
        <f t="shared" si="13"/>
        <v>0</v>
      </c>
      <c r="V60" s="423"/>
    </row>
    <row r="61" spans="1:22" x14ac:dyDescent="0.25">
      <c r="A61" s="604"/>
      <c r="B61" s="604"/>
      <c r="C61" s="143">
        <v>2</v>
      </c>
      <c r="D61" s="143">
        <v>2.11</v>
      </c>
      <c r="E61" s="116">
        <f t="shared" si="10"/>
        <v>4.1099999999999994</v>
      </c>
      <c r="F61" s="443" t="s">
        <v>13</v>
      </c>
      <c r="G61" s="442">
        <v>252</v>
      </c>
      <c r="H61" s="456">
        <f>'1461'!H61</f>
        <v>3506</v>
      </c>
      <c r="I61" s="101">
        <f t="shared" si="11"/>
        <v>14409.66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95</v>
      </c>
      <c r="D66" s="97">
        <f>SUM(D57:D65)</f>
        <v>98.2</v>
      </c>
      <c r="E66" s="97">
        <f>SUM(E57:E65)</f>
        <v>193.2</v>
      </c>
      <c r="F66" s="605" t="s">
        <v>446</v>
      </c>
      <c r="G66" s="605"/>
      <c r="H66" s="605"/>
      <c r="I66" s="97">
        <f>SUM(I57:I65)</f>
        <v>243906.32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1047.68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4.9839999999999997E-3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1107.8604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4.7159999999999997E-3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1047.68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5.5830000000000003E-3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1047.68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4.9919999999999999E-3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1047.68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5.5929999999999999E-3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4.9919999999999999E-3</v>
      </c>
      <c r="I85" s="101">
        <f>ROUND(F85*H85,2)</f>
        <v>230449.21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4.9839999999999997E-3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5.5929999999999999E-3</v>
      </c>
      <c r="I90" s="101">
        <f>ROUND(F90*H90,2)</f>
        <v>106502.05</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5.5830000000000003E-3</v>
      </c>
      <c r="I92" s="101">
        <f t="shared" ref="I92:I96" si="14">ROUND(F92*H92,2)</f>
        <v>63875.95</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4.7159999999999997E-3</v>
      </c>
      <c r="I94" s="101">
        <f t="shared" si="14"/>
        <v>1206149.1399999999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4.7159999999999997E-3</v>
      </c>
      <c r="I96" s="101">
        <f t="shared" si="14"/>
        <v>-7477.5</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4.9839999999999997E-3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528.90260000000012</v>
      </c>
      <c r="D104" s="611"/>
      <c r="E104" s="46">
        <f>H8</f>
        <v>1.0407999999999999</v>
      </c>
      <c r="F104" s="302">
        <f>'1461'!F104</f>
        <v>950.92</v>
      </c>
      <c r="G104" s="39" t="s">
        <v>12</v>
      </c>
      <c r="H104" s="101">
        <f>ROUND(C104*E104*F104,2)</f>
        <v>523464.18</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578.95780000000002</v>
      </c>
      <c r="D105" s="611"/>
      <c r="E105" s="46">
        <f>H8</f>
        <v>1.0407999999999999</v>
      </c>
      <c r="F105" s="302">
        <f>'1461'!F105</f>
        <v>907.92</v>
      </c>
      <c r="G105" s="39" t="s">
        <v>12</v>
      </c>
      <c r="H105" s="101">
        <f>ROUND(C105*E105*F105,2)</f>
        <v>547093.78</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1107.8604</v>
      </c>
      <c r="D107" s="601"/>
      <c r="E107" s="123"/>
      <c r="F107" s="123"/>
      <c r="G107" s="123"/>
      <c r="H107" s="124" t="s">
        <v>100</v>
      </c>
      <c r="I107" s="101">
        <f>IF(A1=75,0,H106+H105+H104)</f>
        <v>1070557.96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74</v>
      </c>
      <c r="D113" s="143">
        <v>71</v>
      </c>
      <c r="E113" s="116">
        <f>(C113+D113)/2</f>
        <v>72.5</v>
      </c>
      <c r="F113" s="126" t="s">
        <v>30</v>
      </c>
      <c r="G113" s="303">
        <f>'1461'!G113</f>
        <v>567</v>
      </c>
      <c r="I113" s="101">
        <f>ROUND(G113*E113,2)</f>
        <v>41107.5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9102016.3100000005</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8692629.7300000004</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8692629.7300000004</v>
      </c>
      <c r="I135" s="94">
        <f>ROUND(IF(E30=0,0,IF(E30&gt;250,-(((250/E30)*H135)*IF(G135="H",0.02,0.05)),IF(G135="H",-0.02*H135,-0.05*H135))),2)</f>
        <v>-41485.14</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9060531.1699999999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-1507646.63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7552884.54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755288.45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132367.45000000001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117</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42.75</v>
      </c>
      <c r="D14" s="141">
        <v>40.75</v>
      </c>
      <c r="E14" s="187">
        <f>IF(D$30=0,C14*2,C14+D14)</f>
        <v>83.5</v>
      </c>
      <c r="F14" s="682">
        <f>'1461'!F14:G14</f>
        <v>1.1180000000000001</v>
      </c>
      <c r="G14" s="682"/>
      <c r="H14" s="145">
        <f>ROUND(E14*F14,4)</f>
        <v>93.352999999999994</v>
      </c>
      <c r="I14" s="111">
        <f>ROUND(ROUND(ROUND(H14*$C$8,4)*($H$8),2)*(MAX($H$9,1)),2)</f>
        <v>517967.63</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6.5</v>
      </c>
      <c r="D15" s="143">
        <v>6.5</v>
      </c>
      <c r="E15" s="116">
        <f t="shared" ref="E15:E29" si="1">IF(D$30=0,C15*2,C15+D15)</f>
        <v>13</v>
      </c>
      <c r="F15" s="678">
        <f>'1461'!F15:G15</f>
        <v>1.1180000000000001</v>
      </c>
      <c r="G15" s="678"/>
      <c r="H15" s="80">
        <f t="shared" ref="H15:H29" si="2">ROUND(E15*F15,4)</f>
        <v>14.534000000000001</v>
      </c>
      <c r="I15" s="101">
        <f t="shared" ref="I15:I29" si="3">ROUND(ROUND(ROUND(H15*$C$8,4)*($H$8),2)*(MAX($H$9,1)),2)</f>
        <v>80641.67</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60.66</v>
      </c>
      <c r="D16" s="143">
        <v>61.79</v>
      </c>
      <c r="E16" s="116">
        <f t="shared" si="1"/>
        <v>122.44999999999999</v>
      </c>
      <c r="F16" s="678">
        <f>'1461'!F16:G16</f>
        <v>1</v>
      </c>
      <c r="G16" s="678"/>
      <c r="H16" s="80">
        <f t="shared" si="2"/>
        <v>122.45</v>
      </c>
      <c r="I16" s="101">
        <f t="shared" si="3"/>
        <v>679411.86</v>
      </c>
      <c r="N16" s="616" t="s">
        <v>22</v>
      </c>
      <c r="O16" s="616"/>
      <c r="P16" s="657">
        <f t="shared" si="0"/>
        <v>0</v>
      </c>
      <c r="Q16" s="657"/>
      <c r="R16" s="662">
        <v>1</v>
      </c>
      <c r="S16" s="662"/>
      <c r="T16" s="95">
        <f t="shared" si="4"/>
        <v>0</v>
      </c>
      <c r="U16" s="472">
        <f t="shared" si="5"/>
        <v>0</v>
      </c>
    </row>
    <row r="17" spans="1:21" x14ac:dyDescent="0.25">
      <c r="A17" s="593" t="s">
        <v>23</v>
      </c>
      <c r="B17" s="593"/>
      <c r="C17" s="143">
        <v>13</v>
      </c>
      <c r="D17" s="143">
        <v>13</v>
      </c>
      <c r="E17" s="116">
        <f t="shared" si="1"/>
        <v>26</v>
      </c>
      <c r="F17" s="678">
        <f>'1461'!F17:G17</f>
        <v>1</v>
      </c>
      <c r="G17" s="678"/>
      <c r="H17" s="80">
        <f t="shared" si="2"/>
        <v>26</v>
      </c>
      <c r="I17" s="101">
        <f t="shared" si="3"/>
        <v>144260.57999999999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2.75</v>
      </c>
      <c r="D26" s="143">
        <v>2.75</v>
      </c>
      <c r="E26" s="116">
        <f t="shared" si="1"/>
        <v>5.5</v>
      </c>
      <c r="F26" s="678">
        <f>'1461'!F26:G26</f>
        <v>1.1919999999999999</v>
      </c>
      <c r="G26" s="678"/>
      <c r="H26" s="80">
        <f t="shared" si="2"/>
        <v>6.556</v>
      </c>
      <c r="I26" s="101">
        <f t="shared" si="3"/>
        <v>36375.86</v>
      </c>
      <c r="N26" s="616" t="s">
        <v>85</v>
      </c>
      <c r="O26" s="616"/>
      <c r="P26" s="657">
        <f t="shared" si="0"/>
        <v>0</v>
      </c>
      <c r="Q26" s="657"/>
      <c r="R26" s="662">
        <v>1</v>
      </c>
      <c r="S26" s="662"/>
      <c r="T26" s="95">
        <f t="shared" si="4"/>
        <v>0</v>
      </c>
      <c r="U26" s="472">
        <f t="shared" si="5"/>
        <v>0</v>
      </c>
    </row>
    <row r="27" spans="1:21" x14ac:dyDescent="0.25">
      <c r="A27" s="593" t="s">
        <v>86</v>
      </c>
      <c r="B27" s="593"/>
      <c r="C27" s="143">
        <v>1.34</v>
      </c>
      <c r="D27" s="143">
        <v>2.64</v>
      </c>
      <c r="E27" s="116">
        <f t="shared" si="1"/>
        <v>3.9800000000000004</v>
      </c>
      <c r="F27" s="678">
        <f>'1461'!F27:G27</f>
        <v>1.1919999999999999</v>
      </c>
      <c r="G27" s="678"/>
      <c r="H27" s="80">
        <f t="shared" si="2"/>
        <v>4.7442000000000002</v>
      </c>
      <c r="I27" s="101">
        <f t="shared" si="3"/>
        <v>26323.119999999999</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127</v>
      </c>
      <c r="D30" s="94">
        <f>SUM(D14:D29)</f>
        <v>127.42999999999999</v>
      </c>
      <c r="E30" s="94">
        <f>SUM(E14:E29)</f>
        <v>254.42999999999998</v>
      </c>
      <c r="F30" s="597"/>
      <c r="G30" s="597"/>
      <c r="H30" s="99">
        <f>SUM(H14:H29)</f>
        <v>267.63719999999995</v>
      </c>
      <c r="I30" s="94">
        <f>SUM(I14:I29)</f>
        <v>1484980.7200000004</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267.63719999999995</v>
      </c>
      <c r="F46" s="34"/>
      <c r="G46" s="106"/>
      <c r="H46" s="107" t="s">
        <v>98</v>
      </c>
      <c r="I46" s="94">
        <f>SUM(I44,I30)</f>
        <v>1484980.7200000004</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1484980.7200000004</v>
      </c>
      <c r="G51" s="109" t="s">
        <v>6</v>
      </c>
      <c r="H51" s="400">
        <v>5.5899999999999998E-2</v>
      </c>
      <c r="I51" s="101">
        <f>ROUND(F51*H51,2)</f>
        <v>83010.42</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1484980.7200000004</v>
      </c>
      <c r="G52" s="109" t="s">
        <v>6</v>
      </c>
      <c r="H52" s="400">
        <v>1.0699999999999999E-2</v>
      </c>
      <c r="I52" s="101">
        <f>ROUND(F52*H52,2)</f>
        <v>15889.29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98899.709999999992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5.5</v>
      </c>
      <c r="D57" s="143">
        <v>5.5</v>
      </c>
      <c r="E57" s="116">
        <f t="shared" ref="E57:E65" si="10">IF(D$66=0,C57*2,C57+D57)</f>
        <v>11</v>
      </c>
      <c r="F57" s="442" t="s">
        <v>437</v>
      </c>
      <c r="G57" s="442">
        <v>251</v>
      </c>
      <c r="H57" s="456">
        <f>'1461'!H57</f>
        <v>1047</v>
      </c>
      <c r="I57" s="101">
        <f>ROUND(E57*H57,2)</f>
        <v>11517</v>
      </c>
      <c r="N57" s="633" t="s">
        <v>445</v>
      </c>
      <c r="O57" s="633"/>
      <c r="P57" s="636"/>
      <c r="Q57" s="636"/>
      <c r="R57" s="448" t="s">
        <v>437</v>
      </c>
      <c r="S57" s="448">
        <v>251</v>
      </c>
      <c r="T57" s="459">
        <f>H57</f>
        <v>1047</v>
      </c>
      <c r="U57" s="473">
        <f>ROUND(P57*T57,2)</f>
        <v>0</v>
      </c>
      <c r="V57" s="423"/>
    </row>
    <row r="58" spans="1:22" x14ac:dyDescent="0.25">
      <c r="A58" s="604"/>
      <c r="B58" s="604"/>
      <c r="C58" s="143">
        <v>1</v>
      </c>
      <c r="D58" s="143">
        <v>1</v>
      </c>
      <c r="E58" s="116">
        <f t="shared" si="10"/>
        <v>2</v>
      </c>
      <c r="F58" s="442" t="s">
        <v>437</v>
      </c>
      <c r="G58" s="442">
        <v>252</v>
      </c>
      <c r="H58" s="456">
        <f>'1461'!H58</f>
        <v>3380</v>
      </c>
      <c r="I58" s="101">
        <f t="shared" ref="I58:I65" si="11">ROUND(E58*H58,2)</f>
        <v>6760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12.5</v>
      </c>
      <c r="D60" s="143">
        <v>12.6</v>
      </c>
      <c r="E60" s="116">
        <f t="shared" si="10"/>
        <v>25.1</v>
      </c>
      <c r="F60" s="443" t="s">
        <v>13</v>
      </c>
      <c r="G60" s="442">
        <v>251</v>
      </c>
      <c r="H60" s="456">
        <f>'1461'!H60</f>
        <v>1173</v>
      </c>
      <c r="I60" s="101">
        <f t="shared" si="11"/>
        <v>29442.3</v>
      </c>
      <c r="N60" s="634"/>
      <c r="O60" s="634"/>
      <c r="P60" s="637"/>
      <c r="Q60" s="637"/>
      <c r="R60" s="40" t="s">
        <v>13</v>
      </c>
      <c r="S60" s="448">
        <v>251</v>
      </c>
      <c r="T60" s="459">
        <f t="shared" si="12"/>
        <v>1173</v>
      </c>
      <c r="U60" s="473">
        <f t="shared" si="13"/>
        <v>0</v>
      </c>
      <c r="V60" s="423"/>
    </row>
    <row r="61" spans="1:22" x14ac:dyDescent="0.25">
      <c r="A61" s="604"/>
      <c r="B61" s="604"/>
      <c r="C61" s="143">
        <v>0.5</v>
      </c>
      <c r="D61" s="143">
        <v>0.4</v>
      </c>
      <c r="E61" s="116">
        <f t="shared" si="10"/>
        <v>0.9</v>
      </c>
      <c r="F61" s="443" t="s">
        <v>13</v>
      </c>
      <c r="G61" s="442">
        <v>252</v>
      </c>
      <c r="H61" s="456">
        <f>'1461'!H61</f>
        <v>3506</v>
      </c>
      <c r="I61" s="101">
        <f t="shared" si="11"/>
        <v>3155.4</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19.5</v>
      </c>
      <c r="D66" s="97">
        <f>SUM(D57:D65)</f>
        <v>19.5</v>
      </c>
      <c r="E66" s="97">
        <f>SUM(E57:E65)</f>
        <v>39</v>
      </c>
      <c r="F66" s="605" t="s">
        <v>446</v>
      </c>
      <c r="G66" s="605"/>
      <c r="H66" s="605"/>
      <c r="I66" s="97">
        <f>SUM(I57:I65)</f>
        <v>50874.700000000004</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254.42999999999998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1.2099999999999999E-3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267.63719999999995</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1.139E-3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254.42999999999998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1.356E-3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254.42999999999998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1.212E-3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254.42999999999998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1.358E-3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1.212E-3</v>
      </c>
      <c r="I85" s="101">
        <f>ROUND(F85*H85,2)</f>
        <v>55950.41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1.2099999999999999E-3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1.358E-3</v>
      </c>
      <c r="I90" s="101">
        <f>ROUND(F90*H90,2)</f>
        <v>25859.07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1.356E-3</v>
      </c>
      <c r="I92" s="101">
        <f t="shared" ref="I92:I96" si="14">ROUND(F92*H92,2)</f>
        <v>15514.2</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1.139E-3</v>
      </c>
      <c r="I94" s="101">
        <f t="shared" si="14"/>
        <v>291307.01</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1.139E-3</v>
      </c>
      <c r="I96" s="101">
        <f t="shared" si="14"/>
        <v>-1805.95</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1.2099999999999999E-3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114.443</v>
      </c>
      <c r="D104" s="611"/>
      <c r="E104" s="46">
        <f>H8</f>
        <v>1.0407999999999999</v>
      </c>
      <c r="F104" s="302">
        <f>'1461'!F104</f>
        <v>950.92</v>
      </c>
      <c r="G104" s="39" t="s">
        <v>12</v>
      </c>
      <c r="H104" s="101">
        <f>ROUND(C104*E104*F104,2)</f>
        <v>113266.24000000001</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153.1942</v>
      </c>
      <c r="D105" s="611"/>
      <c r="E105" s="46">
        <f>H8</f>
        <v>1.0407999999999999</v>
      </c>
      <c r="F105" s="302">
        <f>'1461'!F105</f>
        <v>907.92</v>
      </c>
      <c r="G105" s="39" t="s">
        <v>12</v>
      </c>
      <c r="H105" s="101">
        <f>ROUND(C105*E105*F105,2)</f>
        <v>144762.87</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267.63720000000001</v>
      </c>
      <c r="D107" s="601"/>
      <c r="E107" s="123"/>
      <c r="F107" s="123"/>
      <c r="G107" s="123"/>
      <c r="H107" s="124" t="s">
        <v>100</v>
      </c>
      <c r="I107" s="101">
        <f>IF(A1=75,0,H106+H105+H104)</f>
        <v>258029.11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249</v>
      </c>
      <c r="D113" s="143">
        <v>248</v>
      </c>
      <c r="E113" s="116">
        <f>(C113+D113)/2</f>
        <v>248.5</v>
      </c>
      <c r="F113" s="126" t="s">
        <v>30</v>
      </c>
      <c r="G113" s="303">
        <f>'1461'!G113</f>
        <v>567</v>
      </c>
      <c r="I113" s="101">
        <f>ROUND(G113*E113,2)</f>
        <v>140899.5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2321608.7700000005</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2222709.0600000005</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2222709.0600000005</v>
      </c>
      <c r="I135" s="94">
        <f>ROUND(IF(E30=0,0,IF(E30&gt;250,-(((250/E30)*H135)*IF(G135="H",0.02,0.05)),IF(G135="H",-0.02*H135,-0.05*H135))),2)</f>
        <v>-109200.42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2212408.3500000006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-368240.48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1844167.8700000006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184416.79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1935.03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118</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0.5</v>
      </c>
      <c r="D17" s="143">
        <v>0.96</v>
      </c>
      <c r="E17" s="116">
        <f t="shared" si="1"/>
        <v>1.46</v>
      </c>
      <c r="F17" s="678">
        <f>'1461'!F17:G17</f>
        <v>1</v>
      </c>
      <c r="G17" s="678"/>
      <c r="H17" s="80">
        <f t="shared" si="2"/>
        <v>1.46</v>
      </c>
      <c r="I17" s="101">
        <f t="shared" si="3"/>
        <v>8100.79</v>
      </c>
      <c r="J17" s="65" t="str">
        <f>IF(ROUND(E17,2)=ROUND(SUM(E60:E62),2)," ","CHECK 4-8 LINES BELOW")</f>
        <v xml:space="preserve"> </v>
      </c>
      <c r="N17" s="616" t="s">
        <v>23</v>
      </c>
      <c r="O17" s="616"/>
      <c r="P17" s="657">
        <f t="shared" si="0"/>
        <v>1.46</v>
      </c>
      <c r="Q17" s="657"/>
      <c r="R17" s="662">
        <v>1</v>
      </c>
      <c r="S17" s="662"/>
      <c r="T17" s="95">
        <f t="shared" si="4"/>
        <v>1.46</v>
      </c>
      <c r="U17" s="472">
        <f t="shared" si="5"/>
        <v>8100.79</v>
      </c>
    </row>
    <row r="18" spans="1:21" x14ac:dyDescent="0.25">
      <c r="A18" s="593" t="s">
        <v>24</v>
      </c>
      <c r="B18" s="593"/>
      <c r="C18" s="143">
        <v>0</v>
      </c>
      <c r="D18" s="143"/>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10.5</v>
      </c>
      <c r="D19" s="143">
        <v>11</v>
      </c>
      <c r="E19" s="116">
        <f t="shared" si="1"/>
        <v>21.5</v>
      </c>
      <c r="F19" s="678">
        <f>'1461'!F19:G19</f>
        <v>0.97799999999999998</v>
      </c>
      <c r="G19" s="678"/>
      <c r="H19" s="80">
        <f t="shared" si="2"/>
        <v>21.027000000000001</v>
      </c>
      <c r="I19" s="101">
        <f t="shared" si="3"/>
        <v>116667.97</v>
      </c>
      <c r="J19" s="65" t="str">
        <f>IF(ROUND(E19,2)=ROUND(SUM(E63:E65),2)," ","CHECK 4-8 LINES BELOW")</f>
        <v xml:space="preserve"> </v>
      </c>
      <c r="N19" s="616" t="s">
        <v>25</v>
      </c>
      <c r="O19" s="616"/>
      <c r="P19" s="657">
        <f t="shared" si="0"/>
        <v>21.5</v>
      </c>
      <c r="Q19" s="657"/>
      <c r="R19" s="662">
        <v>1</v>
      </c>
      <c r="S19" s="662"/>
      <c r="T19" s="95">
        <f t="shared" si="4"/>
        <v>21.5</v>
      </c>
      <c r="U19" s="471">
        <f t="shared" si="5"/>
        <v>119292.41</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0.48</v>
      </c>
      <c r="D25" s="143">
        <v>0.98</v>
      </c>
      <c r="E25" s="116">
        <f t="shared" si="1"/>
        <v>1.46</v>
      </c>
      <c r="F25" s="678">
        <f>'1461'!F25:G25</f>
        <v>5.992</v>
      </c>
      <c r="G25" s="678"/>
      <c r="H25" s="80">
        <f t="shared" si="2"/>
        <v>8.7483000000000004</v>
      </c>
      <c r="I25" s="101">
        <f t="shared" si="3"/>
        <v>48539.8</v>
      </c>
      <c r="N25" s="616" t="s">
        <v>84</v>
      </c>
      <c r="O25" s="616"/>
      <c r="P25" s="657">
        <f t="shared" si="0"/>
        <v>1.46</v>
      </c>
      <c r="Q25" s="657"/>
      <c r="R25" s="662">
        <v>1</v>
      </c>
      <c r="S25" s="662"/>
      <c r="T25" s="95">
        <f t="shared" si="4"/>
        <v>1.46</v>
      </c>
      <c r="U25" s="472">
        <f t="shared" si="5"/>
        <v>8100.79</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11.48</v>
      </c>
      <c r="D30" s="94">
        <f>SUM(D14:D29)</f>
        <v>12.940000000000001</v>
      </c>
      <c r="E30" s="94">
        <f>SUM(E14:E29)</f>
        <v>24.42</v>
      </c>
      <c r="F30" s="597"/>
      <c r="G30" s="597"/>
      <c r="H30" s="99">
        <f>SUM(H14:H29)</f>
        <v>31.235300000000002</v>
      </c>
      <c r="I30" s="94">
        <f>SUM(I14:I29)</f>
        <v>173308.56</v>
      </c>
      <c r="N30" s="659" t="s">
        <v>5</v>
      </c>
      <c r="O30" s="659"/>
      <c r="P30" s="660">
        <f>SUM(P14:P29)</f>
        <v>24.42</v>
      </c>
      <c r="Q30" s="660"/>
      <c r="R30" s="632"/>
      <c r="S30" s="632"/>
      <c r="T30" s="100">
        <f>SUM(T14:T29)</f>
        <v>24.42</v>
      </c>
      <c r="U30" s="472">
        <f>SUM(U14:U29)</f>
        <v>135493.99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31.235300000000002</v>
      </c>
      <c r="F46" s="34"/>
      <c r="G46" s="106"/>
      <c r="H46" s="107" t="s">
        <v>98</v>
      </c>
      <c r="I46" s="94">
        <f>SUM(I44,I30)</f>
        <v>173308.56</v>
      </c>
      <c r="N46" s="618" t="s">
        <v>44</v>
      </c>
      <c r="O46" s="618"/>
      <c r="P46" s="618"/>
      <c r="Q46" s="618"/>
      <c r="R46" s="35">
        <f>R44+T30</f>
        <v>24.42</v>
      </c>
      <c r="S46" s="632" t="s">
        <v>42</v>
      </c>
      <c r="T46" s="632"/>
      <c r="U46" s="108">
        <f>SUM(U44,U30)</f>
        <v>135493.99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173308.56</v>
      </c>
      <c r="G51" s="109" t="s">
        <v>6</v>
      </c>
      <c r="H51" s="400">
        <v>5.5899999999999998E-2</v>
      </c>
      <c r="I51" s="101">
        <f>ROUND(F51*H51,2)</f>
        <v>9687.9500000000007</v>
      </c>
      <c r="N51" s="405"/>
      <c r="O51" s="406" t="s">
        <v>513</v>
      </c>
      <c r="P51" s="28"/>
      <c r="Q51" s="44" t="s">
        <v>399</v>
      </c>
      <c r="R51" s="407">
        <f>U30</f>
        <v>135493.99</v>
      </c>
      <c r="S51" s="408" t="s">
        <v>6</v>
      </c>
      <c r="T51" s="409">
        <v>5.5899999999999998E-2</v>
      </c>
      <c r="U51" s="401">
        <f>ROUND(R51*T51,2)</f>
        <v>7574.11</v>
      </c>
    </row>
    <row r="52" spans="1:22" x14ac:dyDescent="0.25">
      <c r="A52" s="26"/>
      <c r="B52" s="558" t="s">
        <v>522</v>
      </c>
      <c r="C52" s="26"/>
      <c r="D52" s="26"/>
      <c r="E52" s="43" t="s">
        <v>399</v>
      </c>
      <c r="F52" s="399">
        <v>173308.56</v>
      </c>
      <c r="G52" s="109" t="s">
        <v>6</v>
      </c>
      <c r="H52" s="400">
        <v>1.0699999999999999E-2</v>
      </c>
      <c r="I52" s="101">
        <f>ROUND(F52*H52,2)</f>
        <v>1854.4</v>
      </c>
      <c r="N52" s="28"/>
      <c r="O52" s="559" t="s">
        <v>521</v>
      </c>
      <c r="P52" s="28"/>
      <c r="Q52" s="44" t="s">
        <v>399</v>
      </c>
      <c r="R52" s="407">
        <f>U30</f>
        <v>135493.99</v>
      </c>
      <c r="S52" s="408" t="s">
        <v>6</v>
      </c>
      <c r="T52" s="409">
        <v>1.0699999999999999E-2</v>
      </c>
      <c r="U52" s="410">
        <f>ROUND(R52*T52,2)</f>
        <v>1449.79</v>
      </c>
    </row>
    <row r="53" spans="1:22" x14ac:dyDescent="0.25">
      <c r="A53" s="26"/>
      <c r="B53" s="81" t="s">
        <v>400</v>
      </c>
      <c r="C53" s="26"/>
      <c r="D53" s="26"/>
      <c r="E53" s="43"/>
      <c r="F53" s="399"/>
      <c r="G53" s="109"/>
      <c r="H53" s="400"/>
      <c r="I53" s="97">
        <f>SUM(I51:I52)</f>
        <v>11542.35</v>
      </c>
      <c r="N53" s="28"/>
      <c r="O53" s="382" t="s">
        <v>400</v>
      </c>
      <c r="P53" s="28"/>
      <c r="Q53" s="44"/>
      <c r="R53" s="407"/>
      <c r="S53" s="408"/>
      <c r="T53" s="409"/>
      <c r="U53" s="401">
        <f>SUM(U51:U52)</f>
        <v>9023.9</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0.48</v>
      </c>
      <c r="E61" s="116">
        <f t="shared" si="10"/>
        <v>0.48</v>
      </c>
      <c r="F61" s="443" t="s">
        <v>13</v>
      </c>
      <c r="G61" s="442">
        <v>252</v>
      </c>
      <c r="H61" s="456">
        <f>'1461'!H61</f>
        <v>3506</v>
      </c>
      <c r="I61" s="101">
        <f t="shared" si="11"/>
        <v>1682.88</v>
      </c>
      <c r="N61" s="634"/>
      <c r="O61" s="634"/>
      <c r="P61" s="637"/>
      <c r="Q61" s="637"/>
      <c r="R61" s="40" t="s">
        <v>13</v>
      </c>
      <c r="S61" s="448">
        <v>252</v>
      </c>
      <c r="T61" s="459">
        <f t="shared" si="12"/>
        <v>3506</v>
      </c>
      <c r="U61" s="473">
        <f t="shared" si="13"/>
        <v>0</v>
      </c>
      <c r="V61" s="423"/>
    </row>
    <row r="62" spans="1:22" x14ac:dyDescent="0.25">
      <c r="A62" s="604"/>
      <c r="B62" s="604"/>
      <c r="C62" s="143">
        <v>0.5</v>
      </c>
      <c r="D62" s="143">
        <v>0.48</v>
      </c>
      <c r="E62" s="116">
        <f t="shared" si="10"/>
        <v>0.98</v>
      </c>
      <c r="F62" s="443" t="s">
        <v>13</v>
      </c>
      <c r="G62" s="442">
        <v>253</v>
      </c>
      <c r="H62" s="456">
        <f>'1461'!H62</f>
        <v>7023</v>
      </c>
      <c r="I62" s="101">
        <f t="shared" si="11"/>
        <v>6882.54</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10.5</v>
      </c>
      <c r="D65" s="143">
        <v>11</v>
      </c>
      <c r="E65" s="116">
        <f t="shared" si="10"/>
        <v>21.5</v>
      </c>
      <c r="F65" s="443" t="s">
        <v>14</v>
      </c>
      <c r="G65" s="442">
        <v>253</v>
      </c>
      <c r="H65" s="456">
        <f>'1461'!H65</f>
        <v>6685</v>
      </c>
      <c r="I65" s="101">
        <f t="shared" si="11"/>
        <v>143727.5</v>
      </c>
      <c r="N65" s="634"/>
      <c r="O65" s="634"/>
      <c r="P65" s="638"/>
      <c r="Q65" s="638"/>
      <c r="R65" s="40" t="s">
        <v>14</v>
      </c>
      <c r="S65" s="448">
        <v>253</v>
      </c>
      <c r="T65" s="459">
        <f t="shared" si="12"/>
        <v>6685</v>
      </c>
      <c r="U65" s="474">
        <f t="shared" si="13"/>
        <v>0</v>
      </c>
      <c r="V65" s="423"/>
    </row>
    <row r="66" spans="1:22" ht="16.5" thickBot="1" x14ac:dyDescent="0.3">
      <c r="A66" s="439"/>
      <c r="C66" s="97">
        <f>SUM(C57:C65)</f>
        <v>11</v>
      </c>
      <c r="D66" s="97">
        <f>SUM(D57:D65)</f>
        <v>11.96</v>
      </c>
      <c r="E66" s="97">
        <f>SUM(E57:E65)</f>
        <v>22.96</v>
      </c>
      <c r="F66" s="605" t="s">
        <v>446</v>
      </c>
      <c r="G66" s="605"/>
      <c r="H66" s="605"/>
      <c r="I66" s="97">
        <f>SUM(I57:I65)</f>
        <v>152292.92000000001</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24.42</v>
      </c>
      <c r="D69" s="580" t="s">
        <v>412</v>
      </c>
      <c r="E69" s="580"/>
      <c r="F69" s="580"/>
      <c r="G69" s="580"/>
      <c r="H69" s="299">
        <f>'1461'!H69</f>
        <v>210228.91</v>
      </c>
      <c r="I69" s="113"/>
      <c r="N69" s="615" t="s">
        <v>405</v>
      </c>
      <c r="O69" s="616"/>
      <c r="P69" s="41">
        <f>P30</f>
        <v>24.42</v>
      </c>
      <c r="Q69" s="621" t="s">
        <v>407</v>
      </c>
      <c r="R69" s="622"/>
      <c r="S69" s="622"/>
      <c r="T69" s="619">
        <f>H69</f>
        <v>210228.91</v>
      </c>
      <c r="U69" s="619"/>
    </row>
    <row r="70" spans="1:22" x14ac:dyDescent="0.25">
      <c r="B70" s="69"/>
      <c r="G70" s="42" t="s">
        <v>12</v>
      </c>
      <c r="H70" s="114">
        <f>ROUND(C69/H69,6)</f>
        <v>1.16E-4</v>
      </c>
      <c r="I70" s="115"/>
      <c r="N70" s="616"/>
      <c r="O70" s="616"/>
      <c r="P70" s="616"/>
      <c r="Q70" s="616"/>
      <c r="R70" s="616"/>
      <c r="S70" s="616"/>
      <c r="T70" s="620">
        <f>ROUND(P69/T69,6)</f>
        <v>1.16E-4</v>
      </c>
      <c r="U70" s="620"/>
    </row>
    <row r="71" spans="1:22" x14ac:dyDescent="0.25">
      <c r="A71" s="441" t="s">
        <v>449</v>
      </c>
      <c r="N71" s="452" t="s">
        <v>457</v>
      </c>
      <c r="O71" s="51"/>
      <c r="P71" s="51"/>
      <c r="Q71" s="51"/>
      <c r="R71" s="51"/>
      <c r="S71" s="51"/>
      <c r="T71" s="51"/>
      <c r="U71" s="51"/>
    </row>
    <row r="72" spans="1:22" x14ac:dyDescent="0.25">
      <c r="A72" s="599" t="s">
        <v>402</v>
      </c>
      <c r="B72" s="593"/>
      <c r="C72" s="112">
        <f>H30</f>
        <v>31.235300000000002</v>
      </c>
      <c r="D72" s="580" t="s">
        <v>413</v>
      </c>
      <c r="E72" s="580"/>
      <c r="F72" s="580"/>
      <c r="G72" s="580"/>
      <c r="H72" s="300">
        <f>'1461'!H72</f>
        <v>234891.44</v>
      </c>
      <c r="I72" s="116"/>
      <c r="N72" s="615" t="s">
        <v>406</v>
      </c>
      <c r="O72" s="616"/>
      <c r="P72" s="41">
        <f>T30</f>
        <v>24.42</v>
      </c>
      <c r="Q72" s="621" t="s">
        <v>408</v>
      </c>
      <c r="R72" s="622"/>
      <c r="S72" s="622"/>
      <c r="T72" s="619">
        <f>H72</f>
        <v>234891.44</v>
      </c>
      <c r="U72" s="619"/>
    </row>
    <row r="73" spans="1:22" x14ac:dyDescent="0.25">
      <c r="G73" s="42" t="s">
        <v>12</v>
      </c>
      <c r="H73" s="114">
        <f>ROUND(C72/H72,6)</f>
        <v>1.3300000000000001E-4</v>
      </c>
      <c r="I73" s="114"/>
      <c r="N73" s="616"/>
      <c r="O73" s="616"/>
      <c r="P73" s="616"/>
      <c r="Q73" s="616"/>
      <c r="R73" s="616"/>
      <c r="S73" s="616"/>
      <c r="T73" s="620">
        <f>ROUND(P72/T72,6)</f>
        <v>1.0399999999999999E-4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24.42</v>
      </c>
      <c r="D75" s="572" t="s">
        <v>414</v>
      </c>
      <c r="E75" s="572"/>
      <c r="F75" s="572"/>
      <c r="G75" s="572"/>
      <c r="H75" s="299">
        <f>'1461'!H75</f>
        <v>187665.41</v>
      </c>
      <c r="I75" s="113"/>
      <c r="N75" s="615" t="s">
        <v>404</v>
      </c>
      <c r="O75" s="616"/>
      <c r="P75" s="41">
        <f>P30</f>
        <v>24.42</v>
      </c>
      <c r="Q75" s="651" t="s">
        <v>409</v>
      </c>
      <c r="R75" s="652"/>
      <c r="S75" s="652"/>
      <c r="T75" s="619">
        <f>H75</f>
        <v>187665.41</v>
      </c>
      <c r="U75" s="619"/>
    </row>
    <row r="76" spans="1:22" x14ac:dyDescent="0.25">
      <c r="B76" s="69"/>
      <c r="G76" s="42" t="s">
        <v>12</v>
      </c>
      <c r="H76" s="114">
        <f>ROUND(C75/H75,6)</f>
        <v>1.2999999999999999E-4</v>
      </c>
      <c r="I76" s="115"/>
      <c r="N76" s="616"/>
      <c r="O76" s="616"/>
      <c r="P76" s="616"/>
      <c r="Q76" s="616"/>
      <c r="R76" s="616"/>
      <c r="S76" s="616"/>
      <c r="T76" s="620">
        <f>ROUND(P75/T75,6)</f>
        <v>1.2999999999999999E-4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24.42</v>
      </c>
      <c r="D78" s="600" t="s">
        <v>415</v>
      </c>
      <c r="E78" s="600"/>
      <c r="F78" s="600"/>
      <c r="G78" s="600"/>
      <c r="H78" s="299">
        <f>'1461'!H78</f>
        <v>209892.26</v>
      </c>
      <c r="I78" s="113"/>
      <c r="N78" s="615" t="s">
        <v>404</v>
      </c>
      <c r="O78" s="616"/>
      <c r="P78" s="41">
        <f>P30</f>
        <v>24.42</v>
      </c>
      <c r="Q78" s="649" t="s">
        <v>410</v>
      </c>
      <c r="R78" s="650"/>
      <c r="S78" s="650"/>
      <c r="T78" s="619">
        <f>H78</f>
        <v>209892.26</v>
      </c>
      <c r="U78" s="619"/>
    </row>
    <row r="79" spans="1:22" x14ac:dyDescent="0.25">
      <c r="B79" s="69"/>
      <c r="G79" s="42" t="s">
        <v>12</v>
      </c>
      <c r="H79" s="114">
        <f>ROUND(C78/H78,6)</f>
        <v>1.16E-4</v>
      </c>
      <c r="I79" s="115"/>
      <c r="N79" s="616"/>
      <c r="O79" s="616"/>
      <c r="P79" s="616"/>
      <c r="Q79" s="616"/>
      <c r="R79" s="616"/>
      <c r="S79" s="616"/>
      <c r="T79" s="620">
        <f>ROUND(P78/T78,6)</f>
        <v>1.16E-4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24.42</v>
      </c>
      <c r="D81" s="572" t="s">
        <v>416</v>
      </c>
      <c r="E81" s="572"/>
      <c r="F81" s="572"/>
      <c r="G81" s="572"/>
      <c r="H81" s="299">
        <f>'1461'!H81</f>
        <v>187328.76</v>
      </c>
      <c r="I81" s="113"/>
      <c r="N81" s="615" t="s">
        <v>417</v>
      </c>
      <c r="O81" s="616"/>
      <c r="P81" s="41">
        <f>P30</f>
        <v>24.42</v>
      </c>
      <c r="Q81" s="651" t="s">
        <v>418</v>
      </c>
      <c r="R81" s="652"/>
      <c r="S81" s="652"/>
      <c r="T81" s="619">
        <f>H81</f>
        <v>187328.76</v>
      </c>
      <c r="U81" s="619"/>
    </row>
    <row r="82" spans="1:21" x14ac:dyDescent="0.25">
      <c r="B82" s="69"/>
      <c r="G82" s="42" t="s">
        <v>12</v>
      </c>
      <c r="H82" s="114">
        <f>ROUND(C81/H81,6)</f>
        <v>1.2999999999999999E-4</v>
      </c>
      <c r="I82" s="115"/>
      <c r="N82" s="616"/>
      <c r="O82" s="616"/>
      <c r="P82" s="616"/>
      <c r="Q82" s="616"/>
      <c r="R82" s="616"/>
      <c r="S82" s="616"/>
      <c r="T82" s="620">
        <f>ROUND(P81/T81,6)</f>
        <v>1.2999999999999999E-4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1.16E-4</v>
      </c>
      <c r="I85" s="101">
        <f>ROUND(F85*H85,2)</f>
        <v>5354.99</v>
      </c>
      <c r="N85" s="452" t="s">
        <v>453</v>
      </c>
      <c r="O85" s="51"/>
      <c r="P85" s="51"/>
      <c r="Q85" s="44"/>
      <c r="R85" s="418">
        <f>F85</f>
        <v>46163704</v>
      </c>
      <c r="S85" s="38" t="s">
        <v>6</v>
      </c>
      <c r="T85" s="420">
        <f>T79</f>
        <v>1.16E-4</v>
      </c>
      <c r="U85" s="472">
        <f>ROUND(R85*T85,2)</f>
        <v>5354.99</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1.16E-4</v>
      </c>
      <c r="I88" s="101">
        <f>ROUND(F88*H88,2)</f>
        <v>0</v>
      </c>
      <c r="N88" s="653" t="s">
        <v>99</v>
      </c>
      <c r="O88" s="616"/>
      <c r="P88" s="616"/>
      <c r="Q88" s="44"/>
      <c r="R88" s="418">
        <f>F88</f>
        <v>0</v>
      </c>
      <c r="S88" s="38" t="s">
        <v>6</v>
      </c>
      <c r="T88" s="420">
        <f>T70</f>
        <v>1.16E-4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1.2999999999999999E-4</v>
      </c>
      <c r="I90" s="101">
        <f>ROUND(F90*H90,2)</f>
        <v>2475.46</v>
      </c>
      <c r="N90" s="452" t="s">
        <v>454</v>
      </c>
      <c r="O90" s="51"/>
      <c r="P90" s="51"/>
      <c r="Q90" s="44"/>
      <c r="R90" s="418">
        <f>F90</f>
        <v>19042026</v>
      </c>
      <c r="S90" s="38" t="s">
        <v>6</v>
      </c>
      <c r="T90" s="420">
        <f>T82</f>
        <v>1.2999999999999999E-4</v>
      </c>
      <c r="U90" s="472">
        <f>ROUND(R90*T90,2)</f>
        <v>2475.46</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1.2999999999999999E-4</v>
      </c>
      <c r="I92" s="101">
        <f t="shared" ref="I92:I96" si="14">ROUND(F92*H92,2)</f>
        <v>1487.35</v>
      </c>
      <c r="N92" s="452" t="s">
        <v>455</v>
      </c>
      <c r="O92" s="51"/>
      <c r="P92" s="51"/>
      <c r="Q92" s="44"/>
      <c r="R92" s="418">
        <f t="shared" ref="R92:R96" si="15">F92</f>
        <v>11441151</v>
      </c>
      <c r="S92" s="38" t="s">
        <v>6</v>
      </c>
      <c r="T92" s="420">
        <f>T76</f>
        <v>1.2999999999999999E-4</v>
      </c>
      <c r="U92" s="472">
        <f>ROUND(R92*T92,2)</f>
        <v>1487.35</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1.3300000000000001E-4</v>
      </c>
      <c r="I94" s="101">
        <f t="shared" si="14"/>
        <v>34015.660000000003</v>
      </c>
      <c r="N94" s="616" t="s">
        <v>420</v>
      </c>
      <c r="O94" s="616"/>
      <c r="P94" s="616"/>
      <c r="Q94" s="44"/>
      <c r="R94" s="418">
        <f t="shared" si="15"/>
        <v>255756816</v>
      </c>
      <c r="S94" s="38" t="s">
        <v>6</v>
      </c>
      <c r="T94" s="420">
        <f>T73</f>
        <v>1.0399999999999999E-4</v>
      </c>
      <c r="U94" s="472">
        <f>ROUND(R94*T94,2)</f>
        <v>26598.71</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1.3300000000000001E-4</v>
      </c>
      <c r="I96" s="101">
        <f t="shared" si="14"/>
        <v>-210.88</v>
      </c>
      <c r="N96" s="615" t="s">
        <v>421</v>
      </c>
      <c r="O96" s="616"/>
      <c r="P96" s="616"/>
      <c r="Q96" s="44"/>
      <c r="R96" s="418">
        <f t="shared" si="15"/>
        <v>-1585559</v>
      </c>
      <c r="S96" s="38" t="s">
        <v>6</v>
      </c>
      <c r="T96" s="420">
        <f>T73</f>
        <v>1.0399999999999999E-4</v>
      </c>
      <c r="U96" s="472">
        <f>ROUND(R96*T96,2)</f>
        <v>-164.9</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1.16E-4</v>
      </c>
      <c r="I98" s="101">
        <f t="shared" ref="I98" si="16">ROUND(F98*H98,2)</f>
        <v>0</v>
      </c>
      <c r="N98" s="532" t="s">
        <v>495</v>
      </c>
      <c r="O98" s="532"/>
      <c r="P98" s="532"/>
      <c r="Q98" s="44"/>
      <c r="R98" s="535">
        <f>F98</f>
        <v>0</v>
      </c>
      <c r="S98" s="533" t="s">
        <v>6</v>
      </c>
      <c r="T98" s="420">
        <f>T70</f>
        <v>1.16E-4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1.46</v>
      </c>
      <c r="D105" s="611"/>
      <c r="E105" s="46">
        <f>H8</f>
        <v>1.0407999999999999</v>
      </c>
      <c r="F105" s="302">
        <f>'1461'!F105</f>
        <v>907.92</v>
      </c>
      <c r="G105" s="39" t="s">
        <v>12</v>
      </c>
      <c r="H105" s="101">
        <f>ROUND(C105*E105*F105,2)</f>
        <v>1379.65</v>
      </c>
      <c r="N105" s="50" t="s">
        <v>13</v>
      </c>
      <c r="O105" s="47">
        <f>T16+T17+T21+T24+T27</f>
        <v>1.46</v>
      </c>
      <c r="P105" s="626">
        <f>T8</f>
        <v>1.0407999999999999</v>
      </c>
      <c r="Q105" s="626"/>
      <c r="R105" s="48">
        <f>F105</f>
        <v>907.92</v>
      </c>
      <c r="S105" s="40" t="s">
        <v>12</v>
      </c>
      <c r="T105" s="478">
        <f>ROUND(O105*P105*R105,2)</f>
        <v>1379.65</v>
      </c>
      <c r="U105" s="51"/>
    </row>
    <row r="106" spans="1:21" ht="16.5" thickBot="1" x14ac:dyDescent="0.3">
      <c r="A106" s="52"/>
      <c r="B106" s="52" t="s">
        <v>103</v>
      </c>
      <c r="C106" s="611">
        <f>H18+H19+H22+H25+H28+H29</f>
        <v>29.775300000000001</v>
      </c>
      <c r="D106" s="611"/>
      <c r="E106" s="46">
        <f>H8</f>
        <v>1.0407999999999999</v>
      </c>
      <c r="F106" s="302">
        <f>'1461'!F106</f>
        <v>910.12</v>
      </c>
      <c r="G106" s="39" t="s">
        <v>12</v>
      </c>
      <c r="H106" s="94">
        <f>ROUND(C106*E106*F106,2)</f>
        <v>28204.74</v>
      </c>
      <c r="N106" s="53" t="s">
        <v>14</v>
      </c>
      <c r="O106" s="54">
        <f>T18+T19+T22+T25+T28+T29</f>
        <v>22.96</v>
      </c>
      <c r="P106" s="626">
        <f>T8</f>
        <v>1.0407999999999999</v>
      </c>
      <c r="Q106" s="626"/>
      <c r="R106" s="48">
        <f>F106</f>
        <v>910.12</v>
      </c>
      <c r="S106" s="40" t="s">
        <v>12</v>
      </c>
      <c r="T106" s="478">
        <f>ROUND(O106*P106*R106,2)</f>
        <v>21748.93</v>
      </c>
      <c r="U106" s="51"/>
    </row>
    <row r="107" spans="1:21" ht="16.5" thickBot="1" x14ac:dyDescent="0.3">
      <c r="A107" s="55"/>
      <c r="B107" s="122" t="s">
        <v>102</v>
      </c>
      <c r="C107" s="601">
        <f>SUM(C104:C106)</f>
        <v>31.235300000000002</v>
      </c>
      <c r="D107" s="601"/>
      <c r="E107" s="123"/>
      <c r="F107" s="123"/>
      <c r="G107" s="123"/>
      <c r="H107" s="124" t="s">
        <v>100</v>
      </c>
      <c r="I107" s="101">
        <f>IF(A1=75,0,H106+H105+H104)</f>
        <v>29584.390000000003</v>
      </c>
      <c r="N107" s="56" t="s">
        <v>89</v>
      </c>
      <c r="O107" s="57">
        <f>SUM(O104:O106)</f>
        <v>24.42</v>
      </c>
      <c r="P107" s="627" t="s">
        <v>16</v>
      </c>
      <c r="Q107" s="628"/>
      <c r="R107" s="628"/>
      <c r="S107" s="628"/>
      <c r="T107" s="628"/>
      <c r="U107" s="472">
        <f>IF(N1=75,0,T106+T105+T104)</f>
        <v>23128.58</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21</v>
      </c>
      <c r="D113" s="143">
        <v>21</v>
      </c>
      <c r="E113" s="116">
        <f>(C113+D113)/2</f>
        <v>21</v>
      </c>
      <c r="F113" s="126" t="s">
        <v>30</v>
      </c>
      <c r="G113" s="303">
        <f>'1461'!G113</f>
        <v>567</v>
      </c>
      <c r="I113" s="101">
        <f>ROUND(G113*E113,2)</f>
        <v>11907</v>
      </c>
      <c r="N113" s="645" t="s">
        <v>52</v>
      </c>
      <c r="O113" s="645"/>
      <c r="P113" s="625">
        <f>IF(H133=1,E113,0)</f>
        <v>21</v>
      </c>
      <c r="Q113" s="625"/>
      <c r="R113" s="625"/>
      <c r="S113" s="83" t="s">
        <v>30</v>
      </c>
      <c r="T113" s="58">
        <f>G113</f>
        <v>567</v>
      </c>
      <c r="U113" s="472">
        <f>ROUND(T113*P113,2)</f>
        <v>11907</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410215.44999999995</v>
      </c>
      <c r="N128" s="452"/>
      <c r="O128" s="451"/>
      <c r="P128" s="451"/>
      <c r="Q128" s="305"/>
      <c r="R128" s="305"/>
      <c r="S128" s="305"/>
      <c r="T128" s="305"/>
      <c r="U128" s="479">
        <f>SUM(U30,U85,U88,U90,U92,U94,U96,U107,U113,U114,U124,U126)</f>
        <v>206281.18</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398673.1</v>
      </c>
      <c r="N130" s="616" t="s">
        <v>432</v>
      </c>
      <c r="O130" s="616"/>
      <c r="P130" s="616"/>
      <c r="Q130" s="616"/>
      <c r="R130" s="616"/>
      <c r="S130" s="616"/>
      <c r="T130" s="616"/>
      <c r="U130" s="132">
        <f>U128-U53</f>
        <v>197257.28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v>1</v>
      </c>
      <c r="I133" s="116">
        <f>U130</f>
        <v>197257.28</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197257.28</v>
      </c>
      <c r="I135" s="94">
        <f>ROUND(IF(E30=0,0,IF(E30&gt;250,-(((250/E30)*H135)*IF(G135="H",0.02,0.05)),IF(G135="H",-0.02*H135,-0.05*H135))),2)</f>
        <v>-9862.86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400352.58999999997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333688.65999999997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33368.870000000003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119</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38.71</v>
      </c>
      <c r="D14" s="141">
        <v>34.619999999999997</v>
      </c>
      <c r="E14" s="187">
        <f>IF(D$30=0,C14*2,C14+D14)</f>
        <v>73.33</v>
      </c>
      <c r="F14" s="682">
        <f>'1461'!F14:G14</f>
        <v>1.1180000000000001</v>
      </c>
      <c r="G14" s="682"/>
      <c r="H14" s="145">
        <f>ROUND(E14*F14,4)</f>
        <v>81.982900000000001</v>
      </c>
      <c r="I14" s="111">
        <f>ROUND(ROUND(ROUND(H14*$C$8,4)*($H$8),2)*(MAX($H$9,1)),2)</f>
        <v>454880.81</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4.5</v>
      </c>
      <c r="D15" s="143">
        <v>4.5</v>
      </c>
      <c r="E15" s="116">
        <f t="shared" ref="E15:E29" si="1">IF(D$30=0,C15*2,C15+D15)</f>
        <v>9</v>
      </c>
      <c r="F15" s="678">
        <f>'1461'!F15:G15</f>
        <v>1.1180000000000001</v>
      </c>
      <c r="G15" s="678"/>
      <c r="H15" s="80">
        <f t="shared" ref="H15:H29" si="2">ROUND(E15*F15,4)</f>
        <v>10.061999999999999</v>
      </c>
      <c r="I15" s="101">
        <f t="shared" ref="I15:I29" si="3">ROUND(ROUND(ROUND(H15*$C$8,4)*($H$8),2)*(MAX($H$9,1)),2)</f>
        <v>55828.85</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18.63</v>
      </c>
      <c r="D16" s="143">
        <v>18.68</v>
      </c>
      <c r="E16" s="116">
        <f t="shared" si="1"/>
        <v>37.31</v>
      </c>
      <c r="F16" s="678">
        <f>'1461'!F16:G16</f>
        <v>1</v>
      </c>
      <c r="G16" s="678"/>
      <c r="H16" s="80">
        <f t="shared" si="2"/>
        <v>37.31</v>
      </c>
      <c r="I16" s="101">
        <f t="shared" si="3"/>
        <v>207013.94</v>
      </c>
      <c r="N16" s="616" t="s">
        <v>22</v>
      </c>
      <c r="O16" s="616"/>
      <c r="P16" s="657">
        <f t="shared" si="0"/>
        <v>0</v>
      </c>
      <c r="Q16" s="657"/>
      <c r="R16" s="662">
        <v>1</v>
      </c>
      <c r="S16" s="662"/>
      <c r="T16" s="95">
        <f t="shared" si="4"/>
        <v>0</v>
      </c>
      <c r="U16" s="472">
        <f t="shared" si="5"/>
        <v>0</v>
      </c>
    </row>
    <row r="17" spans="1:21" x14ac:dyDescent="0.25">
      <c r="A17" s="593" t="s">
        <v>23</v>
      </c>
      <c r="B17" s="593"/>
      <c r="C17" s="143">
        <v>3.5</v>
      </c>
      <c r="D17" s="143">
        <v>3.5</v>
      </c>
      <c r="E17" s="116">
        <f t="shared" si="1"/>
        <v>7</v>
      </c>
      <c r="F17" s="678">
        <f>'1461'!F17:G17</f>
        <v>1</v>
      </c>
      <c r="G17" s="678"/>
      <c r="H17" s="80">
        <f t="shared" si="2"/>
        <v>7</v>
      </c>
      <c r="I17" s="101">
        <f t="shared" si="3"/>
        <v>38839.39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29.79</v>
      </c>
      <c r="D26" s="143">
        <v>31.24</v>
      </c>
      <c r="E26" s="116">
        <f t="shared" si="1"/>
        <v>61.03</v>
      </c>
      <c r="F26" s="678">
        <f>'1461'!F26:G26</f>
        <v>1.1919999999999999</v>
      </c>
      <c r="G26" s="678"/>
      <c r="H26" s="80">
        <f t="shared" si="2"/>
        <v>72.747799999999998</v>
      </c>
      <c r="I26" s="101">
        <f t="shared" si="3"/>
        <v>403640</v>
      </c>
      <c r="N26" s="616" t="s">
        <v>85</v>
      </c>
      <c r="O26" s="616"/>
      <c r="P26" s="657">
        <f t="shared" si="0"/>
        <v>0</v>
      </c>
      <c r="Q26" s="657"/>
      <c r="R26" s="662">
        <v>1</v>
      </c>
      <c r="S26" s="662"/>
      <c r="T26" s="95">
        <f t="shared" si="4"/>
        <v>0</v>
      </c>
      <c r="U26" s="472">
        <f t="shared" si="5"/>
        <v>0</v>
      </c>
    </row>
    <row r="27" spans="1:21" x14ac:dyDescent="0.25">
      <c r="A27" s="593" t="s">
        <v>86</v>
      </c>
      <c r="B27" s="593"/>
      <c r="C27" s="143">
        <v>6.37</v>
      </c>
      <c r="D27" s="143">
        <v>6.86</v>
      </c>
      <c r="E27" s="116">
        <f t="shared" si="1"/>
        <v>13.23</v>
      </c>
      <c r="F27" s="678">
        <f>'1461'!F27:G27</f>
        <v>1.1919999999999999</v>
      </c>
      <c r="G27" s="678"/>
      <c r="H27" s="80">
        <f t="shared" si="2"/>
        <v>15.770200000000001</v>
      </c>
      <c r="I27" s="101">
        <f t="shared" si="3"/>
        <v>87500.7</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101.5</v>
      </c>
      <c r="D30" s="94">
        <f>SUM(D14:D29)</f>
        <v>99.399999999999991</v>
      </c>
      <c r="E30" s="94">
        <f>SUM(E14:E29)</f>
        <v>200.9</v>
      </c>
      <c r="F30" s="597"/>
      <c r="G30" s="597"/>
      <c r="H30" s="99">
        <f>SUM(H14:H29)</f>
        <v>224.87289999999996</v>
      </c>
      <c r="I30" s="94">
        <f>SUM(I14:I29)</f>
        <v>1247703.69</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224.87289999999996</v>
      </c>
      <c r="F46" s="34"/>
      <c r="G46" s="106"/>
      <c r="H46" s="107" t="s">
        <v>98</v>
      </c>
      <c r="I46" s="94">
        <f>SUM(I44,I30)</f>
        <v>1247703.69</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1247703.69</v>
      </c>
      <c r="G51" s="109" t="s">
        <v>6</v>
      </c>
      <c r="H51" s="400">
        <v>5.5899999999999998E-2</v>
      </c>
      <c r="I51" s="101">
        <f>ROUND(F51*H51,2)</f>
        <v>69746.64</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1247703.69</v>
      </c>
      <c r="G52" s="109" t="s">
        <v>6</v>
      </c>
      <c r="H52" s="400">
        <v>1.0699999999999999E-2</v>
      </c>
      <c r="I52" s="101">
        <f>ROUND(F52*H52,2)</f>
        <v>13350.43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83097.070000000007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4</v>
      </c>
      <c r="D57" s="143">
        <v>4.08</v>
      </c>
      <c r="E57" s="116">
        <f t="shared" ref="E57:E65" si="10">IF(D$66=0,C57*2,C57+D57)</f>
        <v>8.08</v>
      </c>
      <c r="F57" s="442" t="s">
        <v>437</v>
      </c>
      <c r="G57" s="442">
        <v>251</v>
      </c>
      <c r="H57" s="456">
        <f>'1461'!H57</f>
        <v>1047</v>
      </c>
      <c r="I57" s="101">
        <f>ROUND(E57*H57,2)</f>
        <v>8459.76</v>
      </c>
      <c r="N57" s="633" t="s">
        <v>445</v>
      </c>
      <c r="O57" s="633"/>
      <c r="P57" s="636"/>
      <c r="Q57" s="636"/>
      <c r="R57" s="448" t="s">
        <v>437</v>
      </c>
      <c r="S57" s="448">
        <v>251</v>
      </c>
      <c r="T57" s="459">
        <f>H57</f>
        <v>1047</v>
      </c>
      <c r="U57" s="473">
        <f>ROUND(P57*T57,2)</f>
        <v>0</v>
      </c>
      <c r="V57" s="423"/>
    </row>
    <row r="58" spans="1:22" x14ac:dyDescent="0.25">
      <c r="A58" s="604"/>
      <c r="B58" s="604"/>
      <c r="C58" s="143">
        <v>0.5</v>
      </c>
      <c r="D58" s="143">
        <v>0.42</v>
      </c>
      <c r="E58" s="116">
        <f t="shared" si="10"/>
        <v>0.91999999999999993</v>
      </c>
      <c r="F58" s="442" t="s">
        <v>437</v>
      </c>
      <c r="G58" s="442">
        <v>252</v>
      </c>
      <c r="H58" s="456">
        <f>'1461'!H58</f>
        <v>3380</v>
      </c>
      <c r="I58" s="101">
        <f t="shared" ref="I58:I65" si="11">ROUND(E58*H58,2)</f>
        <v>3109.6</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3.5</v>
      </c>
      <c r="D60" s="143">
        <v>3.08</v>
      </c>
      <c r="E60" s="116">
        <f t="shared" si="10"/>
        <v>6.58</v>
      </c>
      <c r="F60" s="443" t="s">
        <v>13</v>
      </c>
      <c r="G60" s="442">
        <v>251</v>
      </c>
      <c r="H60" s="456">
        <f>'1461'!H60</f>
        <v>1173</v>
      </c>
      <c r="I60" s="101">
        <f t="shared" si="11"/>
        <v>7718.34</v>
      </c>
      <c r="N60" s="634"/>
      <c r="O60" s="634"/>
      <c r="P60" s="637"/>
      <c r="Q60" s="637"/>
      <c r="R60" s="40" t="s">
        <v>13</v>
      </c>
      <c r="S60" s="448">
        <v>251</v>
      </c>
      <c r="T60" s="459">
        <f t="shared" si="12"/>
        <v>1173</v>
      </c>
      <c r="U60" s="473">
        <f t="shared" si="13"/>
        <v>0</v>
      </c>
      <c r="V60" s="423"/>
    </row>
    <row r="61" spans="1:22" x14ac:dyDescent="0.25">
      <c r="A61" s="604"/>
      <c r="B61" s="604"/>
      <c r="C61" s="143">
        <v>0</v>
      </c>
      <c r="D61" s="143">
        <v>0.42</v>
      </c>
      <c r="E61" s="116">
        <f t="shared" si="10"/>
        <v>0.42</v>
      </c>
      <c r="F61" s="443" t="s">
        <v>13</v>
      </c>
      <c r="G61" s="442">
        <v>252</v>
      </c>
      <c r="H61" s="456">
        <f>'1461'!H61</f>
        <v>3506</v>
      </c>
      <c r="I61" s="101">
        <f t="shared" si="11"/>
        <v>1472.52</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8</v>
      </c>
      <c r="D66" s="97">
        <f>SUM(D57:D65)</f>
        <v>8</v>
      </c>
      <c r="E66" s="97">
        <f>SUM(E57:E65)</f>
        <v>16</v>
      </c>
      <c r="F66" s="605" t="s">
        <v>446</v>
      </c>
      <c r="G66" s="605"/>
      <c r="H66" s="605"/>
      <c r="I66" s="97">
        <f>SUM(I57:I65)</f>
        <v>20760.22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200.9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9.5600000000000004E-4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224.87289999999996</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9.5699999999999995E-4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200.9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1.0709999999999999E-3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200.9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9.5699999999999995E-4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200.9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1.072E-3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9.5699999999999995E-4</v>
      </c>
      <c r="I85" s="101">
        <f>ROUND(F85*H85,2)</f>
        <v>44178.66</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9.5600000000000004E-4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1.072E-3</v>
      </c>
      <c r="I90" s="101">
        <f>ROUND(F90*H90,2)</f>
        <v>20413.05</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1.0709999999999999E-3</v>
      </c>
      <c r="I92" s="101">
        <f t="shared" ref="I92:I96" si="14">ROUND(F92*H92,2)</f>
        <v>12253.47</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9.5699999999999995E-4</v>
      </c>
      <c r="I94" s="101">
        <f t="shared" si="14"/>
        <v>244759.27</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9.5699999999999995E-4</v>
      </c>
      <c r="I96" s="101">
        <f t="shared" si="14"/>
        <v>-1517.38</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9.5600000000000004E-4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164.7927</v>
      </c>
      <c r="D104" s="611"/>
      <c r="E104" s="46">
        <f>H8</f>
        <v>1.0407999999999999</v>
      </c>
      <c r="F104" s="302">
        <f>'1461'!F104</f>
        <v>950.92</v>
      </c>
      <c r="G104" s="39" t="s">
        <v>12</v>
      </c>
      <c r="H104" s="101">
        <f>ROUND(C104*E104*F104,2)</f>
        <v>163098.22</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60.080200000000005</v>
      </c>
      <c r="D105" s="611"/>
      <c r="E105" s="46">
        <f>H8</f>
        <v>1.0407999999999999</v>
      </c>
      <c r="F105" s="302">
        <f>'1461'!F105</f>
        <v>907.92</v>
      </c>
      <c r="G105" s="39" t="s">
        <v>12</v>
      </c>
      <c r="H105" s="101">
        <f>ROUND(C105*E105*F105,2)</f>
        <v>56773.57</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224.87290000000002</v>
      </c>
      <c r="D107" s="601"/>
      <c r="E107" s="123"/>
      <c r="F107" s="123"/>
      <c r="G107" s="123"/>
      <c r="H107" s="124" t="s">
        <v>100</v>
      </c>
      <c r="I107" s="101">
        <f>IF(A1=75,0,H106+H105+H104)</f>
        <v>219871.79</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25</v>
      </c>
      <c r="D113" s="143">
        <v>32</v>
      </c>
      <c r="E113" s="116">
        <f>(C113+D113)/2</f>
        <v>28.5</v>
      </c>
      <c r="F113" s="126" t="s">
        <v>30</v>
      </c>
      <c r="G113" s="303">
        <f>'1461'!G113</f>
        <v>567</v>
      </c>
      <c r="I113" s="101">
        <f>ROUND(G113*E113,2)</f>
        <v>16159.5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1824582.27</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1741485.2</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1741485.2</v>
      </c>
      <c r="I135" s="94">
        <f>ROUND(IF(E30=0,0,IF(E30&gt;250,-(((250/E30)*H135)*IF(G135="H",0.02,0.05)),IF(G135="H",-0.02*H135,-0.05*H135))),2)</f>
        <v>-87074.26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1737508.01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-289051.61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1448456.4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144845.64000000001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286</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75.680000000000007</v>
      </c>
      <c r="D14" s="141">
        <v>78.36</v>
      </c>
      <c r="E14" s="187">
        <f>IF(D$30=0,C14*2,C14+D14)</f>
        <v>154.04000000000002</v>
      </c>
      <c r="F14" s="682">
        <f>'1461'!F14:G14</f>
        <v>1.1180000000000001</v>
      </c>
      <c r="G14" s="682"/>
      <c r="H14" s="145">
        <f>ROUND(E14*F14,4)</f>
        <v>172.2167</v>
      </c>
      <c r="I14" s="111">
        <f>ROUND(ROUND(ROUND(H14*$C$8,4)*($H$8),2)*(MAX($H$9,1)),2)</f>
        <v>955541.6</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6</v>
      </c>
      <c r="D15" s="143">
        <v>6</v>
      </c>
      <c r="E15" s="116">
        <f t="shared" ref="E15:E29" si="1">IF(D$30=0,C15*2,C15+D15)</f>
        <v>12</v>
      </c>
      <c r="F15" s="678">
        <f>'1461'!F15:G15</f>
        <v>1.1180000000000001</v>
      </c>
      <c r="G15" s="678"/>
      <c r="H15" s="80">
        <f t="shared" ref="H15:H29" si="2">ROUND(E15*F15,4)</f>
        <v>13.416</v>
      </c>
      <c r="I15" s="101">
        <f t="shared" ref="I15:I29" si="3">ROUND(ROUND(ROUND(H15*$C$8,4)*($H$8),2)*(MAX($H$9,1)),2)</f>
        <v>74438.460000000006</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103.38</v>
      </c>
      <c r="D16" s="143">
        <v>106.41</v>
      </c>
      <c r="E16" s="116">
        <f t="shared" si="1"/>
        <v>209.79</v>
      </c>
      <c r="F16" s="678">
        <f>'1461'!F16:G16</f>
        <v>1</v>
      </c>
      <c r="G16" s="678"/>
      <c r="H16" s="80">
        <f t="shared" si="2"/>
        <v>209.79</v>
      </c>
      <c r="I16" s="101">
        <f t="shared" si="3"/>
        <v>1164016.46</v>
      </c>
      <c r="N16" s="616" t="s">
        <v>22</v>
      </c>
      <c r="O16" s="616"/>
      <c r="P16" s="657">
        <f t="shared" si="0"/>
        <v>0</v>
      </c>
      <c r="Q16" s="657"/>
      <c r="R16" s="662">
        <v>1</v>
      </c>
      <c r="S16" s="662"/>
      <c r="T16" s="95">
        <f t="shared" si="4"/>
        <v>0</v>
      </c>
      <c r="U16" s="472">
        <f t="shared" si="5"/>
        <v>0</v>
      </c>
    </row>
    <row r="17" spans="1:21" x14ac:dyDescent="0.25">
      <c r="A17" s="593" t="s">
        <v>23</v>
      </c>
      <c r="B17" s="593"/>
      <c r="C17" s="143">
        <v>21.5</v>
      </c>
      <c r="D17" s="143">
        <v>20</v>
      </c>
      <c r="E17" s="116">
        <f t="shared" si="1"/>
        <v>41.5</v>
      </c>
      <c r="F17" s="678">
        <f>'1461'!F17:G17</f>
        <v>1</v>
      </c>
      <c r="G17" s="678"/>
      <c r="H17" s="80">
        <f t="shared" si="2"/>
        <v>41.5</v>
      </c>
      <c r="I17" s="101">
        <f t="shared" si="3"/>
        <v>230262.09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41.82</v>
      </c>
      <c r="D26" s="143">
        <v>40.64</v>
      </c>
      <c r="E26" s="116">
        <f t="shared" si="1"/>
        <v>82.460000000000008</v>
      </c>
      <c r="F26" s="678">
        <f>'1461'!F26:G26</f>
        <v>1.1919999999999999</v>
      </c>
      <c r="G26" s="678"/>
      <c r="H26" s="80">
        <f t="shared" si="2"/>
        <v>98.292299999999997</v>
      </c>
      <c r="I26" s="101">
        <f t="shared" si="3"/>
        <v>545373.25</v>
      </c>
      <c r="N26" s="616" t="s">
        <v>85</v>
      </c>
      <c r="O26" s="616"/>
      <c r="P26" s="657">
        <f t="shared" si="0"/>
        <v>0</v>
      </c>
      <c r="Q26" s="657"/>
      <c r="R26" s="662">
        <v>1</v>
      </c>
      <c r="S26" s="662"/>
      <c r="T26" s="95">
        <f t="shared" si="4"/>
        <v>0</v>
      </c>
      <c r="U26" s="472">
        <f t="shared" si="5"/>
        <v>0</v>
      </c>
    </row>
    <row r="27" spans="1:21" x14ac:dyDescent="0.25">
      <c r="A27" s="593" t="s">
        <v>86</v>
      </c>
      <c r="B27" s="593"/>
      <c r="C27" s="143">
        <v>15.12</v>
      </c>
      <c r="D27" s="143">
        <v>9.59</v>
      </c>
      <c r="E27" s="116">
        <f t="shared" si="1"/>
        <v>24.71</v>
      </c>
      <c r="F27" s="678">
        <f>'1461'!F27:G27</f>
        <v>1.1919999999999999</v>
      </c>
      <c r="G27" s="678"/>
      <c r="H27" s="80">
        <f t="shared" si="2"/>
        <v>29.4543</v>
      </c>
      <c r="I27" s="101">
        <f t="shared" si="3"/>
        <v>163426.71</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263.5</v>
      </c>
      <c r="D30" s="94">
        <f>SUM(D14:D29)</f>
        <v>260.99999999999994</v>
      </c>
      <c r="E30" s="94">
        <f>SUM(E14:E29)</f>
        <v>524.50000000000011</v>
      </c>
      <c r="F30" s="597"/>
      <c r="G30" s="597"/>
      <c r="H30" s="99">
        <f>SUM(H14:H29)</f>
        <v>564.66929999999991</v>
      </c>
      <c r="I30" s="94">
        <f>SUM(I14:I29)</f>
        <v>3133058.57</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564.66929999999991</v>
      </c>
      <c r="F46" s="34"/>
      <c r="G46" s="106"/>
      <c r="H46" s="107" t="s">
        <v>98</v>
      </c>
      <c r="I46" s="94">
        <f>SUM(I44,I30)</f>
        <v>3133058.57</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3133058.57</v>
      </c>
      <c r="G51" s="109" t="s">
        <v>6</v>
      </c>
      <c r="H51" s="400">
        <v>5.5899999999999998E-2</v>
      </c>
      <c r="I51" s="101">
        <f>ROUND(F51*H51,2)</f>
        <v>175137.97</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3133058.57</v>
      </c>
      <c r="G52" s="109" t="s">
        <v>6</v>
      </c>
      <c r="H52" s="400">
        <v>1.0699999999999999E-2</v>
      </c>
      <c r="I52" s="101">
        <f>ROUND(F52*H52,2)</f>
        <v>33523.730000000003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208661.7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6</v>
      </c>
      <c r="D57" s="143">
        <v>6</v>
      </c>
      <c r="E57" s="116">
        <f t="shared" ref="E57:E65" si="10">IF(D$66=0,C57*2,C57+D57)</f>
        <v>12</v>
      </c>
      <c r="F57" s="442" t="s">
        <v>437</v>
      </c>
      <c r="G57" s="442">
        <v>251</v>
      </c>
      <c r="H57" s="456">
        <f>'1461'!H57</f>
        <v>1047</v>
      </c>
      <c r="I57" s="101">
        <f>ROUND(E57*H57,2)</f>
        <v>12564</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21.5</v>
      </c>
      <c r="D60" s="143">
        <v>19.5</v>
      </c>
      <c r="E60" s="116">
        <f t="shared" si="10"/>
        <v>41</v>
      </c>
      <c r="F60" s="443" t="s">
        <v>13</v>
      </c>
      <c r="G60" s="442">
        <v>251</v>
      </c>
      <c r="H60" s="456">
        <f>'1461'!H60</f>
        <v>1173</v>
      </c>
      <c r="I60" s="101">
        <f t="shared" si="11"/>
        <v>48093</v>
      </c>
      <c r="N60" s="634"/>
      <c r="O60" s="634"/>
      <c r="P60" s="637"/>
      <c r="Q60" s="637"/>
      <c r="R60" s="40" t="s">
        <v>13</v>
      </c>
      <c r="S60" s="448">
        <v>251</v>
      </c>
      <c r="T60" s="459">
        <f t="shared" si="12"/>
        <v>1173</v>
      </c>
      <c r="U60" s="473">
        <f t="shared" si="13"/>
        <v>0</v>
      </c>
      <c r="V60" s="423"/>
    </row>
    <row r="61" spans="1:22" x14ac:dyDescent="0.25">
      <c r="A61" s="604"/>
      <c r="B61" s="604"/>
      <c r="C61" s="143">
        <v>0</v>
      </c>
      <c r="D61" s="143">
        <v>0.5</v>
      </c>
      <c r="E61" s="116">
        <f t="shared" si="10"/>
        <v>0.5</v>
      </c>
      <c r="F61" s="443" t="s">
        <v>13</v>
      </c>
      <c r="G61" s="442">
        <v>252</v>
      </c>
      <c r="H61" s="456">
        <f>'1461'!H61</f>
        <v>3506</v>
      </c>
      <c r="I61" s="101">
        <f t="shared" si="11"/>
        <v>1753</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27.5</v>
      </c>
      <c r="D66" s="97">
        <f>SUM(D57:D65)</f>
        <v>26</v>
      </c>
      <c r="E66" s="97">
        <f>SUM(E57:E65)</f>
        <v>53.5</v>
      </c>
      <c r="F66" s="605" t="s">
        <v>446</v>
      </c>
      <c r="G66" s="605"/>
      <c r="H66" s="605"/>
      <c r="I66" s="97">
        <f>SUM(I57:I65)</f>
        <v>62410</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524.50000000000011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2.4949999999999998E-3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564.66929999999991</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2.4039999999999999E-3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524.50000000000011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2.7950000000000002E-3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524.50000000000011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2.4989999999999999E-3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524.50000000000011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2.4989999999999999E-3</v>
      </c>
      <c r="I85" s="101">
        <f>ROUND(F85*H85,2)</f>
        <v>115363.1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2.4949999999999998E-3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2.8E-3</v>
      </c>
      <c r="I90" s="101">
        <f>ROUND(F90*H90,2)</f>
        <v>53317.67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2.7950000000000002E-3</v>
      </c>
      <c r="I92" s="101">
        <f t="shared" ref="I92:I96" si="14">ROUND(F92*H92,2)</f>
        <v>31978.02</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2.4039999999999999E-3</v>
      </c>
      <c r="I94" s="101">
        <f t="shared" si="14"/>
        <v>614839.39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2.4039999999999999E-3</v>
      </c>
      <c r="I96" s="101">
        <f t="shared" si="14"/>
        <v>-3811.68</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2.4949999999999998E-3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283.92500000000001</v>
      </c>
      <c r="D104" s="611"/>
      <c r="E104" s="46">
        <f>H8</f>
        <v>1.0407999999999999</v>
      </c>
      <c r="F104" s="302">
        <f>'1461'!F104</f>
        <v>950.92</v>
      </c>
      <c r="G104" s="39" t="s">
        <v>12</v>
      </c>
      <c r="H104" s="101">
        <f>ROUND(C104*E104*F104,2)</f>
        <v>281005.55</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280.74430000000001</v>
      </c>
      <c r="D105" s="611"/>
      <c r="E105" s="46">
        <f>H8</f>
        <v>1.0407999999999999</v>
      </c>
      <c r="F105" s="302">
        <f>'1461'!F105</f>
        <v>907.92</v>
      </c>
      <c r="G105" s="39" t="s">
        <v>12</v>
      </c>
      <c r="H105" s="101">
        <f>ROUND(C105*E105*F105,2)</f>
        <v>265293.01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564.66930000000002</v>
      </c>
      <c r="D107" s="601"/>
      <c r="E107" s="123"/>
      <c r="F107" s="123"/>
      <c r="G107" s="123"/>
      <c r="H107" s="124" t="s">
        <v>100</v>
      </c>
      <c r="I107" s="101">
        <f>IF(A1=75,0,H106+H105+H104)</f>
        <v>546298.56000000006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25</v>
      </c>
      <c r="D113" s="143">
        <v>22</v>
      </c>
      <c r="E113" s="116">
        <f>(C113+D113)/2</f>
        <v>23.5</v>
      </c>
      <c r="F113" s="126" t="s">
        <v>30</v>
      </c>
      <c r="G113" s="303">
        <f>'1461'!G113</f>
        <v>567</v>
      </c>
      <c r="I113" s="101">
        <f>ROUND(G113*E113,2)</f>
        <v>13324.5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4566778.13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4358116.43</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4358116.43</v>
      </c>
      <c r="I135" s="94">
        <f>ROUND(IF(E30=0,0,IF(E30&gt;250,-(((250/E30)*H135)*IF(G135="H",0.02,0.05)),IF(G135="H",-0.02*H135,-0.05*H135))),2)</f>
        <v>-103863.59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4462914.54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-742516.21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3720398.33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372039.83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114042.23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186</v>
      </c>
      <c r="C1" s="204"/>
      <c r="D1" s="204"/>
      <c r="E1" s="205"/>
      <c r="F1" s="204"/>
    </row>
    <row r="2" spans="1:6" x14ac:dyDescent="0.2">
      <c r="B2" s="206"/>
      <c r="C2" s="204"/>
      <c r="D2" s="204"/>
      <c r="E2" s="205"/>
      <c r="F2" s="204"/>
    </row>
    <row r="3" spans="1:6" x14ac:dyDescent="0.2">
      <c r="B3" s="568" t="s">
        <v>313</v>
      </c>
      <c r="C3" s="569"/>
      <c r="D3" s="204"/>
      <c r="E3" s="568" t="s">
        <v>187</v>
      </c>
      <c r="F3" s="569"/>
    </row>
    <row r="4" spans="1:6" x14ac:dyDescent="0.2">
      <c r="B4" s="207" t="s">
        <v>188</v>
      </c>
      <c r="C4" s="208" t="s">
        <v>189</v>
      </c>
      <c r="D4" s="204"/>
      <c r="E4" s="207" t="s">
        <v>188</v>
      </c>
      <c r="F4" s="208" t="s">
        <v>189</v>
      </c>
    </row>
    <row r="5" spans="1:6" x14ac:dyDescent="0.2">
      <c r="A5" s="215">
        <v>1</v>
      </c>
      <c r="B5" s="209" t="s">
        <v>159</v>
      </c>
      <c r="C5" s="211" t="s">
        <v>191</v>
      </c>
      <c r="D5" s="204"/>
      <c r="E5" s="209" t="s">
        <v>176</v>
      </c>
      <c r="F5" s="210" t="s">
        <v>190</v>
      </c>
    </row>
    <row r="6" spans="1:6" x14ac:dyDescent="0.2">
      <c r="A6" s="215">
        <v>2</v>
      </c>
      <c r="B6" s="209" t="s">
        <v>160</v>
      </c>
      <c r="C6" s="211" t="s">
        <v>193</v>
      </c>
      <c r="D6" s="204"/>
      <c r="E6" s="209" t="s">
        <v>181</v>
      </c>
      <c r="F6" s="210" t="s">
        <v>192</v>
      </c>
    </row>
    <row r="7" spans="1:6" x14ac:dyDescent="0.2">
      <c r="A7" s="215">
        <v>3</v>
      </c>
      <c r="B7" s="209" t="s">
        <v>161</v>
      </c>
      <c r="C7" s="211" t="s">
        <v>194</v>
      </c>
      <c r="D7" s="204"/>
      <c r="E7" s="209" t="s">
        <v>282</v>
      </c>
      <c r="F7" s="210" t="s">
        <v>283</v>
      </c>
    </row>
    <row r="8" spans="1:6" x14ac:dyDescent="0.2">
      <c r="A8" s="215">
        <v>4</v>
      </c>
      <c r="B8" s="209" t="s">
        <v>162</v>
      </c>
      <c r="C8" s="210" t="s">
        <v>195</v>
      </c>
      <c r="D8" s="204"/>
      <c r="E8" s="209" t="s">
        <v>269</v>
      </c>
      <c r="F8" s="210" t="s">
        <v>268</v>
      </c>
    </row>
    <row r="9" spans="1:6" x14ac:dyDescent="0.2">
      <c r="A9" s="215">
        <v>5</v>
      </c>
      <c r="B9" s="209" t="s">
        <v>163</v>
      </c>
      <c r="C9" s="210" t="s">
        <v>256</v>
      </c>
      <c r="D9" s="204"/>
      <c r="E9" s="209" t="s">
        <v>161</v>
      </c>
      <c r="F9" s="211" t="s">
        <v>194</v>
      </c>
    </row>
    <row r="10" spans="1:6" x14ac:dyDescent="0.2">
      <c r="A10" s="215">
        <v>6</v>
      </c>
      <c r="B10" s="209" t="s">
        <v>164</v>
      </c>
      <c r="C10" s="210" t="s">
        <v>359</v>
      </c>
      <c r="D10" s="204"/>
      <c r="E10" s="209" t="s">
        <v>175</v>
      </c>
      <c r="F10" s="210" t="s">
        <v>196</v>
      </c>
    </row>
    <row r="11" spans="1:6" x14ac:dyDescent="0.2">
      <c r="A11" s="215">
        <v>7</v>
      </c>
      <c r="B11" s="209" t="s">
        <v>165</v>
      </c>
      <c r="C11" s="211" t="s">
        <v>197</v>
      </c>
      <c r="D11" s="204"/>
      <c r="E11" s="209" t="s">
        <v>234</v>
      </c>
      <c r="F11" s="210" t="s">
        <v>235</v>
      </c>
    </row>
    <row r="12" spans="1:6" x14ac:dyDescent="0.2">
      <c r="A12" s="215">
        <v>8</v>
      </c>
      <c r="B12" s="209" t="s">
        <v>166</v>
      </c>
      <c r="C12" s="210" t="s">
        <v>198</v>
      </c>
      <c r="D12" s="204"/>
      <c r="E12" s="209" t="s">
        <v>199</v>
      </c>
      <c r="F12" s="210" t="s">
        <v>329</v>
      </c>
    </row>
    <row r="13" spans="1:6" x14ac:dyDescent="0.2">
      <c r="A13" s="215">
        <v>9</v>
      </c>
      <c r="B13" s="209" t="s">
        <v>167</v>
      </c>
      <c r="C13" s="210" t="s">
        <v>318</v>
      </c>
      <c r="D13" s="204"/>
      <c r="E13" s="209" t="s">
        <v>200</v>
      </c>
      <c r="F13" s="210" t="s">
        <v>331</v>
      </c>
    </row>
    <row r="14" spans="1:6" x14ac:dyDescent="0.2">
      <c r="A14" s="215">
        <v>10</v>
      </c>
      <c r="B14" s="209" t="s">
        <v>168</v>
      </c>
      <c r="C14" s="212" t="s">
        <v>365</v>
      </c>
      <c r="D14" s="204"/>
      <c r="E14" s="209" t="s">
        <v>182</v>
      </c>
      <c r="F14" s="211" t="s">
        <v>202</v>
      </c>
    </row>
    <row r="15" spans="1:6" x14ac:dyDescent="0.2">
      <c r="A15" s="215">
        <v>11</v>
      </c>
      <c r="B15" s="209" t="s">
        <v>169</v>
      </c>
      <c r="C15" s="211" t="s">
        <v>201</v>
      </c>
      <c r="D15" s="204"/>
      <c r="E15" s="209" t="s">
        <v>170</v>
      </c>
      <c r="F15" s="211" t="s">
        <v>203</v>
      </c>
    </row>
    <row r="16" spans="1:6" x14ac:dyDescent="0.2">
      <c r="A16" s="215">
        <v>12</v>
      </c>
      <c r="B16" s="209" t="s">
        <v>170</v>
      </c>
      <c r="C16" s="211" t="s">
        <v>203</v>
      </c>
      <c r="D16" s="204"/>
      <c r="E16" s="209" t="s">
        <v>174</v>
      </c>
      <c r="F16" s="211" t="s">
        <v>204</v>
      </c>
    </row>
    <row r="17" spans="1:9" x14ac:dyDescent="0.2">
      <c r="A17" s="215">
        <v>13</v>
      </c>
      <c r="B17" s="209" t="s">
        <v>171</v>
      </c>
      <c r="C17" s="211" t="s">
        <v>205</v>
      </c>
      <c r="D17" s="204"/>
      <c r="E17" s="209" t="s">
        <v>168</v>
      </c>
      <c r="F17" s="212" t="s">
        <v>365</v>
      </c>
    </row>
    <row r="18" spans="1:9" x14ac:dyDescent="0.2">
      <c r="A18" s="215">
        <v>14</v>
      </c>
      <c r="B18" s="209" t="s">
        <v>172</v>
      </c>
      <c r="C18" s="211" t="s">
        <v>206</v>
      </c>
      <c r="D18" s="204"/>
      <c r="E18" s="209" t="s">
        <v>169</v>
      </c>
      <c r="F18" s="211" t="s">
        <v>201</v>
      </c>
    </row>
    <row r="19" spans="1:9" x14ac:dyDescent="0.2">
      <c r="A19" s="215">
        <v>15</v>
      </c>
      <c r="B19" s="209" t="s">
        <v>173</v>
      </c>
      <c r="C19" s="210" t="s">
        <v>287</v>
      </c>
      <c r="D19" s="204"/>
      <c r="E19" s="209" t="s">
        <v>159</v>
      </c>
      <c r="F19" s="211" t="s">
        <v>191</v>
      </c>
    </row>
    <row r="20" spans="1:9" x14ac:dyDescent="0.2">
      <c r="A20" s="215">
        <v>16</v>
      </c>
      <c r="B20" s="209" t="s">
        <v>174</v>
      </c>
      <c r="C20" s="211" t="s">
        <v>204</v>
      </c>
      <c r="D20" s="204"/>
      <c r="E20" s="209" t="s">
        <v>172</v>
      </c>
      <c r="F20" s="211" t="s">
        <v>206</v>
      </c>
    </row>
    <row r="21" spans="1:9" x14ac:dyDescent="0.2">
      <c r="A21" s="215">
        <v>17</v>
      </c>
      <c r="B21" s="209" t="s">
        <v>175</v>
      </c>
      <c r="C21" s="210" t="s">
        <v>196</v>
      </c>
      <c r="D21" s="204"/>
      <c r="E21" s="209" t="s">
        <v>320</v>
      </c>
      <c r="F21" s="214" t="s">
        <v>317</v>
      </c>
    </row>
    <row r="22" spans="1:9" x14ac:dyDescent="0.2">
      <c r="A22" s="215">
        <v>18</v>
      </c>
      <c r="B22" s="209" t="s">
        <v>176</v>
      </c>
      <c r="C22" s="210" t="s">
        <v>190</v>
      </c>
      <c r="D22" s="204"/>
      <c r="E22" s="209" t="s">
        <v>164</v>
      </c>
      <c r="F22" s="210" t="s">
        <v>359</v>
      </c>
    </row>
    <row r="23" spans="1:9" x14ac:dyDescent="0.2">
      <c r="A23" s="215">
        <v>19</v>
      </c>
      <c r="B23" s="209" t="s">
        <v>177</v>
      </c>
      <c r="C23" s="211" t="s">
        <v>207</v>
      </c>
      <c r="D23" s="204"/>
      <c r="E23" s="209" t="s">
        <v>210</v>
      </c>
      <c r="F23" s="214" t="s">
        <v>358</v>
      </c>
    </row>
    <row r="24" spans="1:9" x14ac:dyDescent="0.2">
      <c r="A24" s="215">
        <v>20</v>
      </c>
      <c r="B24" s="209" t="s">
        <v>178</v>
      </c>
      <c r="C24" s="210" t="s">
        <v>208</v>
      </c>
      <c r="D24" s="204"/>
      <c r="E24" s="209" t="s">
        <v>183</v>
      </c>
      <c r="F24" s="211" t="s">
        <v>322</v>
      </c>
    </row>
    <row r="25" spans="1:9" x14ac:dyDescent="0.2">
      <c r="A25" s="215">
        <v>21</v>
      </c>
      <c r="B25" s="213" t="s">
        <v>179</v>
      </c>
      <c r="C25" s="210" t="s">
        <v>209</v>
      </c>
      <c r="D25" s="204"/>
      <c r="E25" s="209" t="s">
        <v>166</v>
      </c>
      <c r="F25" s="210" t="s">
        <v>198</v>
      </c>
    </row>
    <row r="26" spans="1:9" x14ac:dyDescent="0.2">
      <c r="A26" s="215">
        <v>22</v>
      </c>
      <c r="B26" s="209" t="s">
        <v>180</v>
      </c>
      <c r="C26" s="211" t="s">
        <v>211</v>
      </c>
      <c r="D26" s="204"/>
      <c r="E26" s="209" t="s">
        <v>162</v>
      </c>
      <c r="F26" s="210" t="s">
        <v>195</v>
      </c>
    </row>
    <row r="27" spans="1:9" x14ac:dyDescent="0.2">
      <c r="A27" s="215">
        <v>23</v>
      </c>
      <c r="B27" s="209" t="s">
        <v>212</v>
      </c>
      <c r="C27" s="210" t="s">
        <v>213</v>
      </c>
      <c r="D27" s="204"/>
      <c r="E27" s="209" t="s">
        <v>177</v>
      </c>
      <c r="F27" s="211" t="s">
        <v>207</v>
      </c>
    </row>
    <row r="28" spans="1:9" x14ac:dyDescent="0.2">
      <c r="A28" s="215">
        <v>24</v>
      </c>
      <c r="B28" s="209" t="s">
        <v>210</v>
      </c>
      <c r="C28" s="214" t="s">
        <v>358</v>
      </c>
      <c r="D28" s="204"/>
      <c r="E28" s="209" t="s">
        <v>214</v>
      </c>
      <c r="F28" s="210" t="s">
        <v>215</v>
      </c>
    </row>
    <row r="29" spans="1:9" x14ac:dyDescent="0.2">
      <c r="A29" s="215">
        <v>25</v>
      </c>
      <c r="B29" s="209" t="s">
        <v>181</v>
      </c>
      <c r="C29" s="210" t="s">
        <v>192</v>
      </c>
      <c r="D29" s="204"/>
      <c r="E29" s="209" t="s">
        <v>216</v>
      </c>
      <c r="F29" s="210" t="s">
        <v>217</v>
      </c>
      <c r="I29" s="295"/>
    </row>
    <row r="30" spans="1:9" x14ac:dyDescent="0.2">
      <c r="A30" s="215">
        <v>26</v>
      </c>
      <c r="B30" s="209" t="s">
        <v>182</v>
      </c>
      <c r="C30" s="211" t="s">
        <v>202</v>
      </c>
      <c r="D30" s="204"/>
      <c r="E30" s="209" t="s">
        <v>218</v>
      </c>
      <c r="F30" s="210" t="s">
        <v>219</v>
      </c>
      <c r="I30" s="295"/>
    </row>
    <row r="31" spans="1:9" x14ac:dyDescent="0.2">
      <c r="A31" s="215">
        <v>27</v>
      </c>
      <c r="B31" s="209" t="s">
        <v>183</v>
      </c>
      <c r="C31" s="211" t="s">
        <v>322</v>
      </c>
      <c r="D31" s="204"/>
      <c r="E31" s="209" t="s">
        <v>184</v>
      </c>
      <c r="F31" s="211" t="s">
        <v>220</v>
      </c>
    </row>
    <row r="32" spans="1:9" x14ac:dyDescent="0.2">
      <c r="A32" s="215">
        <v>28</v>
      </c>
      <c r="B32" s="209" t="s">
        <v>184</v>
      </c>
      <c r="C32" s="211" t="s">
        <v>220</v>
      </c>
      <c r="D32" s="204"/>
      <c r="E32" s="209" t="s">
        <v>180</v>
      </c>
      <c r="F32" s="211" t="s">
        <v>211</v>
      </c>
    </row>
    <row r="33" spans="1:6" x14ac:dyDescent="0.2">
      <c r="A33" s="215">
        <v>29</v>
      </c>
      <c r="B33" s="209" t="s">
        <v>218</v>
      </c>
      <c r="C33" s="210" t="s">
        <v>219</v>
      </c>
      <c r="D33" s="204"/>
      <c r="E33" s="209" t="s">
        <v>171</v>
      </c>
      <c r="F33" s="211" t="s">
        <v>205</v>
      </c>
    </row>
    <row r="34" spans="1:6" x14ac:dyDescent="0.2">
      <c r="A34" s="215">
        <v>30</v>
      </c>
      <c r="B34" s="209" t="s">
        <v>221</v>
      </c>
      <c r="C34" s="214" t="s">
        <v>222</v>
      </c>
      <c r="D34" s="204"/>
      <c r="E34" s="209">
        <v>4111</v>
      </c>
      <c r="F34" s="211" t="s">
        <v>324</v>
      </c>
    </row>
    <row r="35" spans="1:6" x14ac:dyDescent="0.2">
      <c r="A35" s="215">
        <v>31</v>
      </c>
      <c r="B35" s="209" t="s">
        <v>223</v>
      </c>
      <c r="C35" s="211" t="s">
        <v>224</v>
      </c>
      <c r="D35" s="204"/>
      <c r="E35" s="209" t="s">
        <v>178</v>
      </c>
      <c r="F35" s="210" t="s">
        <v>208</v>
      </c>
    </row>
    <row r="36" spans="1:6" x14ac:dyDescent="0.2">
      <c r="A36" s="215">
        <v>32</v>
      </c>
      <c r="B36" s="209" t="s">
        <v>199</v>
      </c>
      <c r="C36" s="210" t="s">
        <v>329</v>
      </c>
      <c r="D36" s="204"/>
      <c r="E36" s="209" t="s">
        <v>225</v>
      </c>
      <c r="F36" s="210" t="s">
        <v>226</v>
      </c>
    </row>
    <row r="37" spans="1:6" x14ac:dyDescent="0.2">
      <c r="A37" s="215">
        <v>33</v>
      </c>
      <c r="B37" s="209" t="s">
        <v>320</v>
      </c>
      <c r="C37" s="211" t="s">
        <v>317</v>
      </c>
      <c r="D37" s="204"/>
      <c r="E37" s="209" t="s">
        <v>223</v>
      </c>
      <c r="F37" s="211" t="s">
        <v>224</v>
      </c>
    </row>
    <row r="38" spans="1:6" x14ac:dyDescent="0.2">
      <c r="A38" s="215">
        <v>34</v>
      </c>
      <c r="B38" s="209">
        <v>4031</v>
      </c>
      <c r="C38" s="210" t="s">
        <v>334</v>
      </c>
      <c r="D38" s="204"/>
      <c r="E38" s="209" t="s">
        <v>221</v>
      </c>
      <c r="F38" s="214" t="s">
        <v>222</v>
      </c>
    </row>
    <row r="39" spans="1:6" x14ac:dyDescent="0.2">
      <c r="A39" s="215">
        <v>35</v>
      </c>
      <c r="B39" s="209" t="s">
        <v>225</v>
      </c>
      <c r="C39" s="210" t="s">
        <v>226</v>
      </c>
      <c r="D39" s="204"/>
      <c r="E39" s="209" t="s">
        <v>173</v>
      </c>
      <c r="F39" s="211" t="s">
        <v>287</v>
      </c>
    </row>
    <row r="40" spans="1:6" x14ac:dyDescent="0.2">
      <c r="A40" s="215">
        <v>36</v>
      </c>
      <c r="B40" s="209" t="s">
        <v>216</v>
      </c>
      <c r="C40" s="210" t="s">
        <v>217</v>
      </c>
      <c r="D40" s="204"/>
      <c r="E40" s="209">
        <v>4091</v>
      </c>
      <c r="F40" s="211" t="s">
        <v>276</v>
      </c>
    </row>
    <row r="41" spans="1:6" x14ac:dyDescent="0.2">
      <c r="A41" s="215">
        <v>37</v>
      </c>
      <c r="B41" s="209" t="s">
        <v>214</v>
      </c>
      <c r="C41" s="210" t="s">
        <v>215</v>
      </c>
      <c r="D41" s="204"/>
      <c r="E41" s="209">
        <v>4031</v>
      </c>
      <c r="F41" s="210" t="s">
        <v>334</v>
      </c>
    </row>
    <row r="42" spans="1:6" x14ac:dyDescent="0.2">
      <c r="A42" s="215">
        <v>38</v>
      </c>
      <c r="B42" s="209" t="s">
        <v>200</v>
      </c>
      <c r="C42" s="210" t="s">
        <v>331</v>
      </c>
      <c r="D42" s="204"/>
      <c r="E42" s="213" t="s">
        <v>355</v>
      </c>
      <c r="F42" s="210" t="s">
        <v>356</v>
      </c>
    </row>
    <row r="43" spans="1:6" x14ac:dyDescent="0.2">
      <c r="A43" s="215">
        <v>39</v>
      </c>
      <c r="B43" s="209" t="s">
        <v>239</v>
      </c>
      <c r="C43" s="210" t="s">
        <v>243</v>
      </c>
      <c r="D43" s="204"/>
      <c r="E43" s="209" t="s">
        <v>160</v>
      </c>
      <c r="F43" s="211" t="s">
        <v>193</v>
      </c>
    </row>
    <row r="44" spans="1:6" x14ac:dyDescent="0.2">
      <c r="A44" s="215">
        <v>40</v>
      </c>
      <c r="B44" s="242" t="s">
        <v>234</v>
      </c>
      <c r="C44" s="188" t="s">
        <v>235</v>
      </c>
      <c r="D44" s="204"/>
      <c r="E44" s="209" t="s">
        <v>212</v>
      </c>
      <c r="F44" s="210" t="s">
        <v>213</v>
      </c>
    </row>
    <row r="45" spans="1:6" x14ac:dyDescent="0.2">
      <c r="A45" s="215">
        <v>41</v>
      </c>
      <c r="B45" s="242">
        <v>4090</v>
      </c>
      <c r="C45" s="188" t="s">
        <v>277</v>
      </c>
      <c r="D45" s="204"/>
      <c r="E45" s="209">
        <v>4090</v>
      </c>
      <c r="F45" s="211" t="s">
        <v>277</v>
      </c>
    </row>
    <row r="46" spans="1:6" x14ac:dyDescent="0.2">
      <c r="A46" s="215">
        <v>42</v>
      </c>
      <c r="B46" s="242">
        <v>4091</v>
      </c>
      <c r="C46" s="188" t="s">
        <v>276</v>
      </c>
      <c r="D46" s="204"/>
      <c r="E46" s="209" t="s">
        <v>308</v>
      </c>
      <c r="F46" s="211" t="s">
        <v>309</v>
      </c>
    </row>
    <row r="47" spans="1:6" x14ac:dyDescent="0.2">
      <c r="A47" s="215">
        <v>43</v>
      </c>
      <c r="B47" s="209" t="s">
        <v>269</v>
      </c>
      <c r="C47" s="210" t="s">
        <v>268</v>
      </c>
      <c r="D47" s="204"/>
      <c r="E47" s="209" t="s">
        <v>167</v>
      </c>
      <c r="F47" s="210" t="s">
        <v>318</v>
      </c>
    </row>
    <row r="48" spans="1:6" x14ac:dyDescent="0.2">
      <c r="A48" s="215">
        <v>44</v>
      </c>
      <c r="B48" s="209" t="s">
        <v>282</v>
      </c>
      <c r="C48" s="210" t="s">
        <v>283</v>
      </c>
      <c r="D48" s="204"/>
      <c r="E48" s="209" t="s">
        <v>163</v>
      </c>
      <c r="F48" s="210" t="s">
        <v>256</v>
      </c>
    </row>
    <row r="49" spans="1:6" x14ac:dyDescent="0.2">
      <c r="A49" s="215">
        <v>45</v>
      </c>
      <c r="B49" s="209" t="s">
        <v>308</v>
      </c>
      <c r="C49" s="241" t="s">
        <v>309</v>
      </c>
      <c r="D49" s="204"/>
      <c r="E49" s="209" t="s">
        <v>239</v>
      </c>
      <c r="F49" s="210" t="s">
        <v>243</v>
      </c>
    </row>
    <row r="50" spans="1:6" x14ac:dyDescent="0.2">
      <c r="A50" s="215">
        <v>46</v>
      </c>
      <c r="B50" s="209">
        <v>4111</v>
      </c>
      <c r="C50" s="210" t="s">
        <v>324</v>
      </c>
      <c r="D50" s="204"/>
      <c r="E50" s="209" t="s">
        <v>165</v>
      </c>
      <c r="F50" s="211" t="s">
        <v>197</v>
      </c>
    </row>
    <row r="51" spans="1:6" x14ac:dyDescent="0.2">
      <c r="A51" s="215">
        <v>47</v>
      </c>
      <c r="B51" s="209" t="s">
        <v>355</v>
      </c>
      <c r="C51" s="210" t="s">
        <v>356</v>
      </c>
      <c r="D51" s="204"/>
      <c r="E51" s="213" t="s">
        <v>179</v>
      </c>
      <c r="F51" s="210" t="s">
        <v>209</v>
      </c>
    </row>
    <row r="52" spans="1:6" x14ac:dyDescent="0.2">
      <c r="A52" s="215"/>
      <c r="D52" s="204"/>
    </row>
    <row r="53" spans="1:6" x14ac:dyDescent="0.2">
      <c r="A53" s="215"/>
      <c r="D53" s="204"/>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120</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259.93</v>
      </c>
      <c r="D18" s="143">
        <v>255.44</v>
      </c>
      <c r="E18" s="116">
        <f t="shared" si="1"/>
        <v>515.37</v>
      </c>
      <c r="F18" s="678">
        <f>'1461'!F18:G18</f>
        <v>0.97799999999999998</v>
      </c>
      <c r="G18" s="678"/>
      <c r="H18" s="80">
        <f t="shared" si="2"/>
        <v>504.03190000000001</v>
      </c>
      <c r="I18" s="101">
        <f t="shared" si="3"/>
        <v>2796612.92</v>
      </c>
      <c r="N18" s="616" t="s">
        <v>24</v>
      </c>
      <c r="O18" s="616"/>
      <c r="P18" s="657">
        <f t="shared" si="0"/>
        <v>0</v>
      </c>
      <c r="Q18" s="657"/>
      <c r="R18" s="662">
        <v>1</v>
      </c>
      <c r="S18" s="662"/>
      <c r="T18" s="95">
        <f t="shared" si="4"/>
        <v>0</v>
      </c>
      <c r="U18" s="472">
        <f t="shared" si="5"/>
        <v>0</v>
      </c>
    </row>
    <row r="19" spans="1:21" x14ac:dyDescent="0.25">
      <c r="A19" s="593" t="s">
        <v>25</v>
      </c>
      <c r="B19" s="593"/>
      <c r="C19" s="143">
        <v>44</v>
      </c>
      <c r="D19" s="143">
        <v>39.950000000000003</v>
      </c>
      <c r="E19" s="116">
        <f t="shared" si="1"/>
        <v>83.95</v>
      </c>
      <c r="F19" s="678">
        <f>'1461'!F19:G19</f>
        <v>0.97799999999999998</v>
      </c>
      <c r="G19" s="678"/>
      <c r="H19" s="80">
        <f t="shared" si="2"/>
        <v>82.103099999999998</v>
      </c>
      <c r="I19" s="101">
        <f t="shared" si="3"/>
        <v>455547.74</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11.15</v>
      </c>
      <c r="D28" s="143">
        <v>11.09</v>
      </c>
      <c r="E28" s="116">
        <f t="shared" si="1"/>
        <v>22.240000000000002</v>
      </c>
      <c r="F28" s="678">
        <f>'1461'!F28:G28</f>
        <v>1.1919999999999999</v>
      </c>
      <c r="G28" s="678"/>
      <c r="H28" s="80">
        <f t="shared" si="2"/>
        <v>26.510100000000001</v>
      </c>
      <c r="I28" s="101">
        <f t="shared" si="3"/>
        <v>147090.87</v>
      </c>
      <c r="N28" s="616" t="s">
        <v>87</v>
      </c>
      <c r="O28" s="616"/>
      <c r="P28" s="657">
        <f t="shared" si="0"/>
        <v>0</v>
      </c>
      <c r="Q28" s="657"/>
      <c r="R28" s="662">
        <v>1</v>
      </c>
      <c r="S28" s="662"/>
      <c r="T28" s="95">
        <f t="shared" si="4"/>
        <v>0</v>
      </c>
      <c r="U28" s="472">
        <f t="shared" si="5"/>
        <v>0</v>
      </c>
    </row>
    <row r="29" spans="1:21" x14ac:dyDescent="0.25">
      <c r="A29" s="593" t="s">
        <v>88</v>
      </c>
      <c r="B29" s="593"/>
      <c r="C29" s="110">
        <v>26.61</v>
      </c>
      <c r="D29" s="110">
        <v>26.39</v>
      </c>
      <c r="E29" s="116">
        <f t="shared" si="1"/>
        <v>53</v>
      </c>
      <c r="F29" s="678">
        <f>'1461'!F29:G29</f>
        <v>1.079</v>
      </c>
      <c r="G29" s="678"/>
      <c r="H29" s="93">
        <f t="shared" si="2"/>
        <v>57.186999999999998</v>
      </c>
      <c r="I29" s="94">
        <f t="shared" si="3"/>
        <v>317301.15000000002</v>
      </c>
      <c r="N29" s="631" t="s">
        <v>88</v>
      </c>
      <c r="O29" s="631"/>
      <c r="P29" s="657">
        <f t="shared" si="0"/>
        <v>0</v>
      </c>
      <c r="Q29" s="657"/>
      <c r="R29" s="658">
        <v>1</v>
      </c>
      <c r="S29" s="658"/>
      <c r="T29" s="95">
        <f t="shared" si="4"/>
        <v>0</v>
      </c>
      <c r="U29" s="472">
        <f t="shared" si="5"/>
        <v>0</v>
      </c>
    </row>
    <row r="30" spans="1:21" x14ac:dyDescent="0.25">
      <c r="A30" s="605" t="s">
        <v>5</v>
      </c>
      <c r="B30" s="605"/>
      <c r="C30" s="94">
        <f>SUM(C14:C29)</f>
        <v>341.69</v>
      </c>
      <c r="D30" s="94">
        <f>SUM(D14:D29)</f>
        <v>332.86999999999995</v>
      </c>
      <c r="E30" s="97">
        <f>SUM(E14:E29)</f>
        <v>674.56000000000006</v>
      </c>
      <c r="F30" s="597"/>
      <c r="G30" s="597"/>
      <c r="H30" s="99">
        <f>SUM(H14:H29)</f>
        <v>669.83209999999997</v>
      </c>
      <c r="I30" s="94">
        <f>SUM(I14:I29)</f>
        <v>3716552.68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669.83209999999997</v>
      </c>
      <c r="F46" s="34"/>
      <c r="G46" s="106"/>
      <c r="H46" s="107" t="s">
        <v>98</v>
      </c>
      <c r="I46" s="94">
        <f>SUM(I44,I30)</f>
        <v>3716552.68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3716552.68</v>
      </c>
      <c r="G51" s="109" t="s">
        <v>6</v>
      </c>
      <c r="H51" s="400">
        <v>5.5899999999999998E-2</v>
      </c>
      <c r="I51" s="101">
        <f>ROUND(F51*H51,2)</f>
        <v>207755.29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3716552.68</v>
      </c>
      <c r="G52" s="109" t="s">
        <v>6</v>
      </c>
      <c r="H52" s="400">
        <v>1.0699999999999999E-2</v>
      </c>
      <c r="I52" s="101">
        <f>ROUND(F52*H52,2)</f>
        <v>39767.11</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247522.40000000002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39.99</v>
      </c>
      <c r="D63" s="143">
        <v>37.950000000000003</v>
      </c>
      <c r="E63" s="116">
        <f t="shared" si="10"/>
        <v>77.94</v>
      </c>
      <c r="F63" s="443" t="s">
        <v>14</v>
      </c>
      <c r="G63" s="442">
        <v>251</v>
      </c>
      <c r="H63" s="456">
        <f>'1461'!H63</f>
        <v>835</v>
      </c>
      <c r="I63" s="101">
        <f t="shared" si="11"/>
        <v>65079.9</v>
      </c>
      <c r="N63" s="634"/>
      <c r="O63" s="634"/>
      <c r="P63" s="637"/>
      <c r="Q63" s="637"/>
      <c r="R63" s="40" t="s">
        <v>14</v>
      </c>
      <c r="S63" s="448">
        <v>251</v>
      </c>
      <c r="T63" s="459">
        <f t="shared" si="12"/>
        <v>835</v>
      </c>
      <c r="U63" s="473">
        <f t="shared" si="13"/>
        <v>0</v>
      </c>
      <c r="V63" s="423"/>
    </row>
    <row r="64" spans="1:22" x14ac:dyDescent="0.25">
      <c r="A64" s="604"/>
      <c r="B64" s="604"/>
      <c r="C64" s="143">
        <v>4.01</v>
      </c>
      <c r="D64" s="143">
        <v>2</v>
      </c>
      <c r="E64" s="116">
        <f t="shared" si="10"/>
        <v>6.01</v>
      </c>
      <c r="F64" s="443" t="s">
        <v>14</v>
      </c>
      <c r="G64" s="442">
        <v>252</v>
      </c>
      <c r="H64" s="456">
        <f>'1461'!H64</f>
        <v>3168</v>
      </c>
      <c r="I64" s="101">
        <f t="shared" si="11"/>
        <v>19039.68</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44</v>
      </c>
      <c r="D66" s="97">
        <f>SUM(D57:D65)</f>
        <v>39.950000000000003</v>
      </c>
      <c r="E66" s="97">
        <f>SUM(E57:E65)</f>
        <v>83.95</v>
      </c>
      <c r="F66" s="605" t="s">
        <v>446</v>
      </c>
      <c r="G66" s="605"/>
      <c r="H66" s="605"/>
      <c r="I66" s="97">
        <f>SUM(I57:I65)</f>
        <v>84119.58</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674.56000000000006</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3.209E-3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669.83209999999997</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2.8519999999999999E-3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674.56000000000006</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3.594E-3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674.56000000000006</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3.2139999999999998E-3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674.56000000000006</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3.601E-3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3.2139999999999998E-3</v>
      </c>
      <c r="I85" s="101">
        <f>ROUND(F85*H85,2)</f>
        <v>148370.14000000001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3.209E-3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3.601E-3</v>
      </c>
      <c r="I90" s="101">
        <f>ROUND(F90*H90,2)</f>
        <v>68570.34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3.594E-3</v>
      </c>
      <c r="I92" s="101">
        <f t="shared" ref="I92:I96" si="14">ROUND(F92*H92,2)</f>
        <v>41119.5</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2.8519999999999999E-3</v>
      </c>
      <c r="I94" s="101">
        <f t="shared" si="14"/>
        <v>729418.44</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2.8519999999999999E-3</v>
      </c>
      <c r="I96" s="101">
        <f t="shared" si="14"/>
        <v>-4522.01</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3.209E-3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422</v>
      </c>
      <c r="N101" s="406" t="s">
        <v>422</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669.83209999999997</v>
      </c>
      <c r="D106" s="611"/>
      <c r="E106" s="46">
        <f>H8</f>
        <v>1.0407999999999999</v>
      </c>
      <c r="F106" s="302">
        <f>'1461'!F106</f>
        <v>910.12</v>
      </c>
      <c r="G106" s="39" t="s">
        <v>12</v>
      </c>
      <c r="H106" s="94">
        <f>ROUND(C106*E106*F106,2)</f>
        <v>634500.4</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669.83209999999997</v>
      </c>
      <c r="D107" s="601"/>
      <c r="E107" s="123"/>
      <c r="F107" s="123"/>
      <c r="G107" s="123"/>
      <c r="H107" s="124" t="s">
        <v>100</v>
      </c>
      <c r="I107" s="101">
        <f>IF(A1=75,0,H106+H105+H104)</f>
        <v>634500.4</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81" t="s">
        <v>427</v>
      </c>
      <c r="C110" s="43"/>
      <c r="D110" s="69"/>
      <c r="E110" s="43" t="s">
        <v>32</v>
      </c>
      <c r="F110" s="571"/>
      <c r="G110" s="571"/>
      <c r="H110" s="571"/>
      <c r="I110" s="571"/>
      <c r="N110" s="615" t="s">
        <v>427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384</v>
      </c>
      <c r="D113" s="143">
        <v>281</v>
      </c>
      <c r="E113" s="116">
        <f>(C113+D113)/2</f>
        <v>332.5</v>
      </c>
      <c r="F113" s="126" t="s">
        <v>30</v>
      </c>
      <c r="G113" s="303">
        <f>'1461'!G113</f>
        <v>567</v>
      </c>
      <c r="I113" s="101">
        <f>ROUND(G113*E113,2)</f>
        <v>188527.5</v>
      </c>
      <c r="N113" s="645" t="s">
        <v>52</v>
      </c>
      <c r="O113" s="645"/>
      <c r="P113" s="625">
        <f>IF(H133=1,E113,0)</f>
        <v>0</v>
      </c>
      <c r="Q113" s="625"/>
      <c r="R113" s="625"/>
      <c r="S113" s="83" t="s">
        <v>30</v>
      </c>
      <c r="T113" s="58">
        <f>G113</f>
        <v>567</v>
      </c>
      <c r="U113" s="472">
        <f>ROUND(T113*P113,2)</f>
        <v>0</v>
      </c>
    </row>
    <row r="114" spans="1:21" x14ac:dyDescent="0.25">
      <c r="A114" s="572" t="s">
        <v>382</v>
      </c>
      <c r="B114" s="573"/>
      <c r="C114" s="143">
        <v>1</v>
      </c>
      <c r="D114" s="143">
        <v>0</v>
      </c>
      <c r="E114" s="116">
        <f>(C114+D114)/2</f>
        <v>0.5</v>
      </c>
      <c r="F114" s="126" t="s">
        <v>30</v>
      </c>
      <c r="G114" s="303">
        <f>'1461'!G114</f>
        <v>1821</v>
      </c>
      <c r="I114" s="101">
        <f>ROUND(G114*E114,2)</f>
        <v>910.5</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503</v>
      </c>
      <c r="B126" s="593"/>
      <c r="C126" s="593"/>
      <c r="D126" s="69"/>
      <c r="E126" s="68" t="s">
        <v>34</v>
      </c>
      <c r="F126" s="612"/>
      <c r="G126" s="612"/>
      <c r="H126" s="612"/>
      <c r="I126" s="154">
        <v>0</v>
      </c>
      <c r="N126" s="615" t="s">
        <v>503</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5607567.0700000003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5360044.67</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5360044.67</v>
      </c>
      <c r="I135" s="94">
        <f>ROUND(IF(E30=0,0,IF(E30&gt;250,-(((250/E30)*H135)*IF(G135="H",0.02,0.05)),IF(G135="H",-0.02*H135,-0.05*H135))),2)</f>
        <v>-39729.93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5567837.1400000006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-916714.78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4651122.3600000003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465112.24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67470.960000000006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121</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6</v>
      </c>
      <c r="D16" s="143">
        <v>4.8899999999999997</v>
      </c>
      <c r="E16" s="116">
        <f t="shared" si="1"/>
        <v>10.89</v>
      </c>
      <c r="F16" s="678">
        <f>'1461'!F16:G16</f>
        <v>1</v>
      </c>
      <c r="G16" s="678"/>
      <c r="H16" s="80">
        <f t="shared" si="2"/>
        <v>10.89</v>
      </c>
      <c r="I16" s="101">
        <f t="shared" si="3"/>
        <v>60422.99</v>
      </c>
      <c r="N16" s="616" t="s">
        <v>22</v>
      </c>
      <c r="O16" s="616"/>
      <c r="P16" s="657">
        <f t="shared" si="0"/>
        <v>0</v>
      </c>
      <c r="Q16" s="657"/>
      <c r="R16" s="662">
        <v>1</v>
      </c>
      <c r="S16" s="662"/>
      <c r="T16" s="95">
        <f t="shared" si="4"/>
        <v>0</v>
      </c>
      <c r="U16" s="472">
        <f t="shared" si="5"/>
        <v>0</v>
      </c>
    </row>
    <row r="17" spans="1:21" x14ac:dyDescent="0.25">
      <c r="A17" s="593" t="s">
        <v>23</v>
      </c>
      <c r="B17" s="593"/>
      <c r="C17" s="143">
        <v>0.5</v>
      </c>
      <c r="D17" s="143">
        <v>0.98</v>
      </c>
      <c r="E17" s="116">
        <f t="shared" si="1"/>
        <v>1.48</v>
      </c>
      <c r="F17" s="678">
        <f>'1461'!F17:G17</f>
        <v>1</v>
      </c>
      <c r="G17" s="678"/>
      <c r="H17" s="80">
        <f t="shared" si="2"/>
        <v>1.48</v>
      </c>
      <c r="I17" s="101">
        <f t="shared" si="3"/>
        <v>8211.76</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41.11</v>
      </c>
      <c r="D18" s="143">
        <v>39.1</v>
      </c>
      <c r="E18" s="116">
        <f t="shared" si="1"/>
        <v>80.210000000000008</v>
      </c>
      <c r="F18" s="678">
        <f>'1461'!F18:G18</f>
        <v>0.97799999999999998</v>
      </c>
      <c r="G18" s="678"/>
      <c r="H18" s="80">
        <f t="shared" si="2"/>
        <v>78.445400000000006</v>
      </c>
      <c r="I18" s="101">
        <f t="shared" si="3"/>
        <v>435253.05</v>
      </c>
      <c r="N18" s="616" t="s">
        <v>24</v>
      </c>
      <c r="O18" s="616"/>
      <c r="P18" s="657">
        <f t="shared" si="0"/>
        <v>0</v>
      </c>
      <c r="Q18" s="657"/>
      <c r="R18" s="662">
        <v>1</v>
      </c>
      <c r="S18" s="662"/>
      <c r="T18" s="95">
        <f t="shared" si="4"/>
        <v>0</v>
      </c>
      <c r="U18" s="472">
        <f t="shared" si="5"/>
        <v>0</v>
      </c>
    </row>
    <row r="19" spans="1:21" x14ac:dyDescent="0.25">
      <c r="A19" s="593" t="s">
        <v>25</v>
      </c>
      <c r="B19" s="593"/>
      <c r="C19" s="143">
        <v>13.15</v>
      </c>
      <c r="D19" s="143">
        <v>12.99</v>
      </c>
      <c r="E19" s="116">
        <f t="shared" si="1"/>
        <v>26.14</v>
      </c>
      <c r="F19" s="678">
        <f>'1461'!F19:G19</f>
        <v>0.97799999999999998</v>
      </c>
      <c r="G19" s="678"/>
      <c r="H19" s="80">
        <f t="shared" si="2"/>
        <v>25.564900000000002</v>
      </c>
      <c r="I19" s="101">
        <f t="shared" si="3"/>
        <v>141846.44</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1.56</v>
      </c>
      <c r="D29" s="110">
        <v>2.4700000000000002</v>
      </c>
      <c r="E29" s="116">
        <f t="shared" si="1"/>
        <v>4.03</v>
      </c>
      <c r="F29" s="678">
        <f>'1461'!F29:G29</f>
        <v>1.079</v>
      </c>
      <c r="G29" s="678"/>
      <c r="H29" s="93">
        <f t="shared" si="2"/>
        <v>4.3483999999999998</v>
      </c>
      <c r="I29" s="94">
        <f t="shared" si="3"/>
        <v>24127.03</v>
      </c>
      <c r="N29" s="631" t="s">
        <v>88</v>
      </c>
      <c r="O29" s="631"/>
      <c r="P29" s="657">
        <f t="shared" si="0"/>
        <v>0</v>
      </c>
      <c r="Q29" s="657"/>
      <c r="R29" s="658">
        <v>1</v>
      </c>
      <c r="S29" s="658"/>
      <c r="T29" s="95">
        <f t="shared" si="4"/>
        <v>0</v>
      </c>
      <c r="U29" s="472">
        <f t="shared" si="5"/>
        <v>0</v>
      </c>
    </row>
    <row r="30" spans="1:21" x14ac:dyDescent="0.25">
      <c r="A30" s="605" t="s">
        <v>5</v>
      </c>
      <c r="B30" s="605"/>
      <c r="C30" s="94">
        <f>SUM(C14:C29)</f>
        <v>62.32</v>
      </c>
      <c r="D30" s="94">
        <f>SUM(D14:D29)</f>
        <v>60.43</v>
      </c>
      <c r="E30" s="97">
        <f>SUM(E14:E29)</f>
        <v>122.75000000000001</v>
      </c>
      <c r="F30" s="597"/>
      <c r="G30" s="597"/>
      <c r="H30" s="99">
        <f>SUM(H14:H29)</f>
        <v>120.7287</v>
      </c>
      <c r="I30" s="94">
        <f>SUM(I14:I29)</f>
        <v>669861.27</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120.7287</v>
      </c>
      <c r="F46" s="34"/>
      <c r="G46" s="106"/>
      <c r="H46" s="107" t="s">
        <v>98</v>
      </c>
      <c r="I46" s="94">
        <f>SUM(I44,I30)</f>
        <v>669861.27</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669861.27</v>
      </c>
      <c r="G51" s="109" t="s">
        <v>6</v>
      </c>
      <c r="H51" s="400">
        <v>5.5899999999999998E-2</v>
      </c>
      <c r="I51" s="101">
        <f>ROUND(F51*H51,2)</f>
        <v>37445.24</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669861.27</v>
      </c>
      <c r="G52" s="109" t="s">
        <v>6</v>
      </c>
      <c r="H52" s="400">
        <v>1.0699999999999999E-2</v>
      </c>
      <c r="I52" s="101">
        <f>ROUND(F52*H52,2)</f>
        <v>7167.52</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44612.759999999995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0.5</v>
      </c>
      <c r="D60" s="143">
        <v>0.98</v>
      </c>
      <c r="E60" s="116">
        <f t="shared" si="10"/>
        <v>1.48</v>
      </c>
      <c r="F60" s="443" t="s">
        <v>13</v>
      </c>
      <c r="G60" s="442">
        <v>251</v>
      </c>
      <c r="H60" s="456">
        <f>'1461'!H60</f>
        <v>1173</v>
      </c>
      <c r="I60" s="101">
        <f t="shared" si="11"/>
        <v>1736.04</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13.15</v>
      </c>
      <c r="D63" s="143">
        <v>12.99</v>
      </c>
      <c r="E63" s="116">
        <f t="shared" si="10"/>
        <v>26.14</v>
      </c>
      <c r="F63" s="443" t="s">
        <v>14</v>
      </c>
      <c r="G63" s="442">
        <v>251</v>
      </c>
      <c r="H63" s="456">
        <f>'1461'!H63</f>
        <v>835</v>
      </c>
      <c r="I63" s="101">
        <f t="shared" si="11"/>
        <v>21826.9</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13.65</v>
      </c>
      <c r="D66" s="97">
        <f>SUM(D57:D65)</f>
        <v>13.97</v>
      </c>
      <c r="E66" s="97">
        <f>SUM(E57:E65)</f>
        <v>27.62</v>
      </c>
      <c r="F66" s="605" t="s">
        <v>446</v>
      </c>
      <c r="G66" s="605"/>
      <c r="H66" s="605"/>
      <c r="I66" s="97">
        <f>SUM(I57:I65)</f>
        <v>23562.940000000002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122.75000000000001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5.8399999999999999E-4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120.7287</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5.1400000000000003E-4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122.75000000000001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6.5399999999999996E-4</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122.75000000000001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5.8500000000000002E-4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122.75000000000001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6.5499999999999998E-4</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5.8500000000000002E-4</v>
      </c>
      <c r="I85" s="101">
        <f>ROUND(F85*H85,2)</f>
        <v>27005.77</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5.8399999999999999E-4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6.5499999999999998E-4</v>
      </c>
      <c r="I90" s="101">
        <f>ROUND(F90*H90,2)</f>
        <v>12472.53</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6.5399999999999996E-4</v>
      </c>
      <c r="I92" s="101">
        <f t="shared" ref="I92:I96" si="14">ROUND(F92*H92,2)</f>
        <v>7482.51</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5.1400000000000003E-4</v>
      </c>
      <c r="I94" s="101">
        <f t="shared" si="14"/>
        <v>131459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5.1400000000000003E-4</v>
      </c>
      <c r="I96" s="101">
        <f t="shared" si="14"/>
        <v>-814.98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5.8399999999999999E-4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12.370000000000001</v>
      </c>
      <c r="D105" s="611"/>
      <c r="E105" s="46">
        <f>H8</f>
        <v>1.0407999999999999</v>
      </c>
      <c r="F105" s="302">
        <f>'1461'!F105</f>
        <v>907.92</v>
      </c>
      <c r="G105" s="39" t="s">
        <v>12</v>
      </c>
      <c r="H105" s="101">
        <f>ROUND(C105*E105*F105,2)</f>
        <v>11689.19</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108.3587</v>
      </c>
      <c r="D106" s="611"/>
      <c r="E106" s="46">
        <f>H8</f>
        <v>1.0407999999999999</v>
      </c>
      <c r="F106" s="302">
        <f>'1461'!F106</f>
        <v>910.12</v>
      </c>
      <c r="G106" s="39" t="s">
        <v>12</v>
      </c>
      <c r="H106" s="94">
        <f>ROUND(C106*E106*F106,2)</f>
        <v>102643.09</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120.7287</v>
      </c>
      <c r="D107" s="601"/>
      <c r="E107" s="123"/>
      <c r="F107" s="123"/>
      <c r="G107" s="123"/>
      <c r="H107" s="124" t="s">
        <v>100</v>
      </c>
      <c r="I107" s="101">
        <f>IF(A1=75,0,H106+H105+H104)</f>
        <v>114332.28</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103</v>
      </c>
      <c r="D113" s="143">
        <v>96</v>
      </c>
      <c r="E113" s="116">
        <f>(C113+D113)/2</f>
        <v>99.5</v>
      </c>
      <c r="F113" s="126" t="s">
        <v>30</v>
      </c>
      <c r="G113" s="303">
        <f>'1461'!G113</f>
        <v>567</v>
      </c>
      <c r="I113" s="101">
        <f>ROUND(G113*E113,2)</f>
        <v>56416.5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1041777.8200000001</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997165.06</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997165.06</v>
      </c>
      <c r="I135" s="94">
        <f>ROUND(IF(E30=0,0,IF(E30&gt;250,-(((250/E30)*H135)*IF(G135="H",0.02,0.05)),IF(G135="H",-0.02*H135,-0.05*H135))),2)</f>
        <v>-49858.25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991919.57000000007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-165088.16999999998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826831.40000000014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82683.14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113</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45.43</v>
      </c>
      <c r="D19" s="143">
        <v>48.32</v>
      </c>
      <c r="E19" s="116">
        <f t="shared" si="1"/>
        <v>93.75</v>
      </c>
      <c r="F19" s="678">
        <f>'1461'!F19:G19</f>
        <v>0.97799999999999998</v>
      </c>
      <c r="G19" s="678"/>
      <c r="H19" s="80">
        <f t="shared" si="2"/>
        <v>91.6875</v>
      </c>
      <c r="I19" s="101">
        <f>ROUND(ROUND(ROUND(H19*$C$8,4)*($H$8),2)*(MAX($H$9,1)),2)</f>
        <v>508726.63</v>
      </c>
      <c r="J19" s="65" t="str">
        <f>IF(ROUND(E19,2)=ROUND(SUM(E63:E65),2)," ","CHECK 4-8 LINES BELOW")</f>
        <v xml:space="preserve"> </v>
      </c>
      <c r="N19" s="616" t="s">
        <v>25</v>
      </c>
      <c r="O19" s="616"/>
      <c r="P19" s="657">
        <f t="shared" si="0"/>
        <v>93.75</v>
      </c>
      <c r="Q19" s="657"/>
      <c r="R19" s="662">
        <v>1</v>
      </c>
      <c r="S19" s="662"/>
      <c r="T19" s="95">
        <f t="shared" si="4"/>
        <v>93.75</v>
      </c>
      <c r="U19" s="471">
        <f t="shared" si="5"/>
        <v>520170.37</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45.43</v>
      </c>
      <c r="D30" s="94">
        <f>SUM(D14:D29)</f>
        <v>48.32</v>
      </c>
      <c r="E30" s="94">
        <f>SUM(E14:E29)</f>
        <v>93.75</v>
      </c>
      <c r="F30" s="597"/>
      <c r="G30" s="597"/>
      <c r="H30" s="99">
        <f>SUM(H14:H29)</f>
        <v>91.6875</v>
      </c>
      <c r="I30" s="94">
        <f>SUM(I14:I29)</f>
        <v>508726.63</v>
      </c>
      <c r="N30" s="659" t="s">
        <v>5</v>
      </c>
      <c r="O30" s="659"/>
      <c r="P30" s="660">
        <f>SUM(P14:P29)</f>
        <v>93.75</v>
      </c>
      <c r="Q30" s="660"/>
      <c r="R30" s="632"/>
      <c r="S30" s="632"/>
      <c r="T30" s="100">
        <f>SUM(T14:T29)</f>
        <v>93.75</v>
      </c>
      <c r="U30" s="472">
        <f>SUM(U14:U29)</f>
        <v>520170.37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91.6875</v>
      </c>
      <c r="F46" s="34"/>
      <c r="G46" s="106"/>
      <c r="H46" s="107" t="s">
        <v>98</v>
      </c>
      <c r="I46" s="94">
        <f>SUM(I44,I30)</f>
        <v>508726.63</v>
      </c>
      <c r="N46" s="618" t="s">
        <v>44</v>
      </c>
      <c r="O46" s="618"/>
      <c r="P46" s="618"/>
      <c r="Q46" s="618"/>
      <c r="R46" s="35">
        <f>R44+T30</f>
        <v>93.75</v>
      </c>
      <c r="S46" s="632" t="s">
        <v>42</v>
      </c>
      <c r="T46" s="632"/>
      <c r="U46" s="108">
        <f>SUM(U44,U30)</f>
        <v>520170.37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508726.63</v>
      </c>
      <c r="G51" s="109" t="s">
        <v>6</v>
      </c>
      <c r="H51" s="400">
        <v>5.5899999999999998E-2</v>
      </c>
      <c r="I51" s="101">
        <f>ROUND(F51*H51,2)</f>
        <v>28437.82</v>
      </c>
      <c r="N51" s="405"/>
      <c r="O51" s="406" t="s">
        <v>513</v>
      </c>
      <c r="P51" s="28"/>
      <c r="Q51" s="44" t="s">
        <v>399</v>
      </c>
      <c r="R51" s="407">
        <f>U30</f>
        <v>520170.37</v>
      </c>
      <c r="S51" s="408" t="s">
        <v>6</v>
      </c>
      <c r="T51" s="409">
        <v>5.5899999999999998E-2</v>
      </c>
      <c r="U51" s="401">
        <f>ROUND(R51*T51,2)</f>
        <v>29077.52</v>
      </c>
    </row>
    <row r="52" spans="1:22" x14ac:dyDescent="0.25">
      <c r="A52" s="26"/>
      <c r="B52" s="558" t="s">
        <v>522</v>
      </c>
      <c r="C52" s="26"/>
      <c r="D52" s="26"/>
      <c r="E52" s="43" t="s">
        <v>399</v>
      </c>
      <c r="F52" s="399">
        <v>508726.63</v>
      </c>
      <c r="G52" s="109" t="s">
        <v>6</v>
      </c>
      <c r="H52" s="400">
        <v>1.0699999999999999E-2</v>
      </c>
      <c r="I52" s="101">
        <f>ROUND(F52*H52,2)</f>
        <v>5443.37</v>
      </c>
      <c r="N52" s="28"/>
      <c r="O52" s="559" t="s">
        <v>521</v>
      </c>
      <c r="P52" s="28"/>
      <c r="Q52" s="44" t="s">
        <v>399</v>
      </c>
      <c r="R52" s="407">
        <f>U30</f>
        <v>520170.37</v>
      </c>
      <c r="S52" s="408" t="s">
        <v>6</v>
      </c>
      <c r="T52" s="409">
        <v>1.0699999999999999E-2</v>
      </c>
      <c r="U52" s="410">
        <f>ROUND(R52*T52,2)</f>
        <v>5565.82</v>
      </c>
    </row>
    <row r="53" spans="1:22" x14ac:dyDescent="0.25">
      <c r="A53" s="26"/>
      <c r="B53" s="81" t="s">
        <v>400</v>
      </c>
      <c r="C53" s="26"/>
      <c r="D53" s="26"/>
      <c r="E53" s="43"/>
      <c r="F53" s="399"/>
      <c r="G53" s="109"/>
      <c r="H53" s="400"/>
      <c r="I53" s="97">
        <f>SUM(I51:I52)</f>
        <v>33881.19</v>
      </c>
      <c r="N53" s="28"/>
      <c r="O53" s="382" t="s">
        <v>400</v>
      </c>
      <c r="P53" s="28"/>
      <c r="Q53" s="44"/>
      <c r="R53" s="407"/>
      <c r="S53" s="408"/>
      <c r="T53" s="409"/>
      <c r="U53" s="401">
        <f>SUM(U51:U52)</f>
        <v>34643.339999999997</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1.3</v>
      </c>
      <c r="E63" s="116">
        <f t="shared" si="10"/>
        <v>1.3</v>
      </c>
      <c r="F63" s="443" t="s">
        <v>14</v>
      </c>
      <c r="G63" s="442">
        <v>251</v>
      </c>
      <c r="H63" s="456">
        <f>'1461'!H63</f>
        <v>835</v>
      </c>
      <c r="I63" s="101">
        <f t="shared" si="11"/>
        <v>1085.5</v>
      </c>
      <c r="N63" s="634"/>
      <c r="O63" s="634"/>
      <c r="P63" s="637"/>
      <c r="Q63" s="637"/>
      <c r="R63" s="40" t="s">
        <v>14</v>
      </c>
      <c r="S63" s="448">
        <v>251</v>
      </c>
      <c r="T63" s="459">
        <f t="shared" si="12"/>
        <v>835</v>
      </c>
      <c r="U63" s="473">
        <f t="shared" si="13"/>
        <v>0</v>
      </c>
      <c r="V63" s="423"/>
    </row>
    <row r="64" spans="1:22" x14ac:dyDescent="0.25">
      <c r="A64" s="604"/>
      <c r="B64" s="604"/>
      <c r="C64" s="143">
        <v>31.42</v>
      </c>
      <c r="D64" s="143">
        <v>33.11</v>
      </c>
      <c r="E64" s="116">
        <f t="shared" si="10"/>
        <v>64.53</v>
      </c>
      <c r="F64" s="443" t="s">
        <v>14</v>
      </c>
      <c r="G64" s="442">
        <v>252</v>
      </c>
      <c r="H64" s="456">
        <f>'1461'!H64</f>
        <v>3168</v>
      </c>
      <c r="I64" s="101">
        <f t="shared" si="11"/>
        <v>204431.04</v>
      </c>
      <c r="N64" s="634"/>
      <c r="O64" s="634"/>
      <c r="P64" s="637"/>
      <c r="Q64" s="637"/>
      <c r="R64" s="40" t="s">
        <v>14</v>
      </c>
      <c r="S64" s="448">
        <v>252</v>
      </c>
      <c r="T64" s="459">
        <f t="shared" si="12"/>
        <v>3168</v>
      </c>
      <c r="U64" s="473">
        <f t="shared" si="13"/>
        <v>0</v>
      </c>
      <c r="V64" s="423"/>
    </row>
    <row r="65" spans="1:22" ht="16.5" thickBot="1" x14ac:dyDescent="0.3">
      <c r="A65" s="604"/>
      <c r="B65" s="604"/>
      <c r="C65" s="143">
        <v>14.01</v>
      </c>
      <c r="D65" s="143">
        <v>13.91</v>
      </c>
      <c r="E65" s="116">
        <f t="shared" si="10"/>
        <v>27.92</v>
      </c>
      <c r="F65" s="443" t="s">
        <v>14</v>
      </c>
      <c r="G65" s="442">
        <v>253</v>
      </c>
      <c r="H65" s="456">
        <f>'1461'!H65</f>
        <v>6685</v>
      </c>
      <c r="I65" s="101">
        <f t="shared" si="11"/>
        <v>186645.2</v>
      </c>
      <c r="N65" s="634"/>
      <c r="O65" s="634"/>
      <c r="P65" s="638"/>
      <c r="Q65" s="638"/>
      <c r="R65" s="40" t="s">
        <v>14</v>
      </c>
      <c r="S65" s="448">
        <v>253</v>
      </c>
      <c r="T65" s="459">
        <f t="shared" si="12"/>
        <v>6685</v>
      </c>
      <c r="U65" s="474">
        <f t="shared" si="13"/>
        <v>0</v>
      </c>
      <c r="V65" s="423"/>
    </row>
    <row r="66" spans="1:22" ht="16.5" thickBot="1" x14ac:dyDescent="0.3">
      <c r="A66" s="439"/>
      <c r="C66" s="97">
        <f>SUM(C57:C65)</f>
        <v>45.43</v>
      </c>
      <c r="D66" s="97">
        <f>SUM(D57:D65)</f>
        <v>48.319999999999993</v>
      </c>
      <c r="E66" s="97">
        <f>SUM(E57:E65)</f>
        <v>93.75</v>
      </c>
      <c r="F66" s="605" t="s">
        <v>446</v>
      </c>
      <c r="G66" s="605"/>
      <c r="H66" s="605"/>
      <c r="I66" s="97">
        <f>SUM(I57:I65)</f>
        <v>392161.74</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93.75</v>
      </c>
      <c r="D69" s="580" t="s">
        <v>412</v>
      </c>
      <c r="E69" s="580"/>
      <c r="F69" s="580"/>
      <c r="G69" s="580"/>
      <c r="H69" s="299">
        <f>'1461'!H69</f>
        <v>210228.91</v>
      </c>
      <c r="I69" s="113"/>
      <c r="N69" s="615" t="s">
        <v>405</v>
      </c>
      <c r="O69" s="616"/>
      <c r="P69" s="41">
        <f>P30</f>
        <v>93.75</v>
      </c>
      <c r="Q69" s="621" t="s">
        <v>407</v>
      </c>
      <c r="R69" s="622"/>
      <c r="S69" s="622"/>
      <c r="T69" s="619">
        <f>H69</f>
        <v>210228.91</v>
      </c>
      <c r="U69" s="619"/>
    </row>
    <row r="70" spans="1:22" x14ac:dyDescent="0.25">
      <c r="B70" s="69"/>
      <c r="G70" s="42" t="s">
        <v>12</v>
      </c>
      <c r="H70" s="114">
        <f>ROUND(C69/H69,6)</f>
        <v>4.46E-4</v>
      </c>
      <c r="I70" s="115"/>
      <c r="N70" s="616"/>
      <c r="O70" s="616"/>
      <c r="P70" s="616"/>
      <c r="Q70" s="616"/>
      <c r="R70" s="616"/>
      <c r="S70" s="616"/>
      <c r="T70" s="620">
        <f>ROUND(P69/T69,6)</f>
        <v>4.46E-4</v>
      </c>
      <c r="U70" s="620"/>
    </row>
    <row r="71" spans="1:22" x14ac:dyDescent="0.25">
      <c r="A71" s="441" t="s">
        <v>449</v>
      </c>
      <c r="N71" s="452" t="s">
        <v>457</v>
      </c>
      <c r="O71" s="51"/>
      <c r="P71" s="51"/>
      <c r="Q71" s="51"/>
      <c r="R71" s="51"/>
      <c r="S71" s="51"/>
      <c r="T71" s="51"/>
      <c r="U71" s="51"/>
    </row>
    <row r="72" spans="1:22" x14ac:dyDescent="0.25">
      <c r="A72" s="599" t="s">
        <v>402</v>
      </c>
      <c r="B72" s="593"/>
      <c r="C72" s="112">
        <f>H30</f>
        <v>91.6875</v>
      </c>
      <c r="D72" s="580" t="s">
        <v>413</v>
      </c>
      <c r="E72" s="580"/>
      <c r="F72" s="580"/>
      <c r="G72" s="580"/>
      <c r="H72" s="300">
        <f>'1461'!H72</f>
        <v>234891.44</v>
      </c>
      <c r="I72" s="116"/>
      <c r="N72" s="615" t="s">
        <v>406</v>
      </c>
      <c r="O72" s="616"/>
      <c r="P72" s="41">
        <f>T30</f>
        <v>93.75</v>
      </c>
      <c r="Q72" s="621" t="s">
        <v>408</v>
      </c>
      <c r="R72" s="622"/>
      <c r="S72" s="622"/>
      <c r="T72" s="619">
        <f>H72</f>
        <v>234891.44</v>
      </c>
      <c r="U72" s="619"/>
    </row>
    <row r="73" spans="1:22" x14ac:dyDescent="0.25">
      <c r="G73" s="42" t="s">
        <v>12</v>
      </c>
      <c r="H73" s="114">
        <f>ROUND(C72/H72,6)</f>
        <v>3.8999999999999999E-4</v>
      </c>
      <c r="I73" s="114"/>
      <c r="N73" s="616"/>
      <c r="O73" s="616"/>
      <c r="P73" s="616"/>
      <c r="Q73" s="616"/>
      <c r="R73" s="616"/>
      <c r="S73" s="616"/>
      <c r="T73" s="620">
        <f>ROUND(P72/T72,6)</f>
        <v>3.9899999999999999E-4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93.75</v>
      </c>
      <c r="D75" s="572" t="s">
        <v>414</v>
      </c>
      <c r="E75" s="572"/>
      <c r="F75" s="572"/>
      <c r="G75" s="572"/>
      <c r="H75" s="299">
        <f>'1461'!H75</f>
        <v>187665.41</v>
      </c>
      <c r="I75" s="113"/>
      <c r="N75" s="615" t="s">
        <v>404</v>
      </c>
      <c r="O75" s="616"/>
      <c r="P75" s="41">
        <f>P30</f>
        <v>93.75</v>
      </c>
      <c r="Q75" s="651" t="s">
        <v>409</v>
      </c>
      <c r="R75" s="652"/>
      <c r="S75" s="652"/>
      <c r="T75" s="619">
        <f>H75</f>
        <v>187665.41</v>
      </c>
      <c r="U75" s="619"/>
    </row>
    <row r="76" spans="1:22" x14ac:dyDescent="0.25">
      <c r="B76" s="69"/>
      <c r="G76" s="42" t="s">
        <v>12</v>
      </c>
      <c r="H76" s="114">
        <f>ROUND(C75/H75,6)</f>
        <v>5.0000000000000001E-4</v>
      </c>
      <c r="I76" s="115"/>
      <c r="N76" s="616"/>
      <c r="O76" s="616"/>
      <c r="P76" s="616"/>
      <c r="Q76" s="616"/>
      <c r="R76" s="616"/>
      <c r="S76" s="616"/>
      <c r="T76" s="620">
        <f>ROUND(P75/T75,6)</f>
        <v>5.0000000000000001E-4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93.75</v>
      </c>
      <c r="D78" s="600" t="s">
        <v>415</v>
      </c>
      <c r="E78" s="600"/>
      <c r="F78" s="600"/>
      <c r="G78" s="600"/>
      <c r="H78" s="299">
        <f>'1461'!H78</f>
        <v>209892.26</v>
      </c>
      <c r="I78" s="113"/>
      <c r="N78" s="615" t="s">
        <v>404</v>
      </c>
      <c r="O78" s="616"/>
      <c r="P78" s="41">
        <f>P30</f>
        <v>93.75</v>
      </c>
      <c r="Q78" s="649" t="s">
        <v>410</v>
      </c>
      <c r="R78" s="650"/>
      <c r="S78" s="650"/>
      <c r="T78" s="619">
        <f>H78</f>
        <v>209892.26</v>
      </c>
      <c r="U78" s="619"/>
    </row>
    <row r="79" spans="1:22" x14ac:dyDescent="0.25">
      <c r="B79" s="69"/>
      <c r="G79" s="42" t="s">
        <v>12</v>
      </c>
      <c r="H79" s="114">
        <f>ROUND(C78/H78,6)</f>
        <v>4.4700000000000002E-4</v>
      </c>
      <c r="I79" s="115"/>
      <c r="N79" s="616"/>
      <c r="O79" s="616"/>
      <c r="P79" s="616"/>
      <c r="Q79" s="616"/>
      <c r="R79" s="616"/>
      <c r="S79" s="616"/>
      <c r="T79" s="620">
        <f>ROUND(P78/T78,6)</f>
        <v>4.4700000000000002E-4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93.75</v>
      </c>
      <c r="D81" s="572" t="s">
        <v>416</v>
      </c>
      <c r="E81" s="572"/>
      <c r="F81" s="572"/>
      <c r="G81" s="572"/>
      <c r="H81" s="299">
        <f>'1461'!H81</f>
        <v>187328.76</v>
      </c>
      <c r="I81" s="113"/>
      <c r="N81" s="615" t="s">
        <v>417</v>
      </c>
      <c r="O81" s="616"/>
      <c r="P81" s="41">
        <f>P30</f>
        <v>93.75</v>
      </c>
      <c r="Q81" s="651" t="s">
        <v>418</v>
      </c>
      <c r="R81" s="652"/>
      <c r="S81" s="652"/>
      <c r="T81" s="619">
        <f>H81</f>
        <v>187328.76</v>
      </c>
      <c r="U81" s="619"/>
    </row>
    <row r="82" spans="1:21" x14ac:dyDescent="0.25">
      <c r="B82" s="69"/>
      <c r="G82" s="42" t="s">
        <v>12</v>
      </c>
      <c r="H82" s="114">
        <f>ROUND(C81/H81,6)</f>
        <v>5.0000000000000001E-4</v>
      </c>
      <c r="I82" s="115"/>
      <c r="N82" s="616"/>
      <c r="O82" s="616"/>
      <c r="P82" s="616"/>
      <c r="Q82" s="616"/>
      <c r="R82" s="616"/>
      <c r="S82" s="616"/>
      <c r="T82" s="620">
        <f>ROUND(P81/T81,6)</f>
        <v>5.0000000000000001E-4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4.4700000000000002E-4</v>
      </c>
      <c r="I85" s="101">
        <f>ROUND(F85*H85,2)</f>
        <v>20635.18</v>
      </c>
      <c r="N85" s="452" t="s">
        <v>453</v>
      </c>
      <c r="O85" s="51"/>
      <c r="P85" s="51"/>
      <c r="Q85" s="44"/>
      <c r="R85" s="418">
        <f>F85</f>
        <v>46163704</v>
      </c>
      <c r="S85" s="38" t="s">
        <v>6</v>
      </c>
      <c r="T85" s="420">
        <f>T79</f>
        <v>4.4700000000000002E-4</v>
      </c>
      <c r="U85" s="472">
        <f>ROUND(R85*T85,2)</f>
        <v>20635.18</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4.46E-4</v>
      </c>
      <c r="I88" s="101">
        <f>ROUND(F88*H88,2)</f>
        <v>0</v>
      </c>
      <c r="N88" s="653" t="s">
        <v>99</v>
      </c>
      <c r="O88" s="616"/>
      <c r="P88" s="616"/>
      <c r="Q88" s="44"/>
      <c r="R88" s="418">
        <f>F88</f>
        <v>0</v>
      </c>
      <c r="S88" s="38" t="s">
        <v>6</v>
      </c>
      <c r="T88" s="420">
        <f>T70</f>
        <v>4.46E-4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5.0000000000000001E-4</v>
      </c>
      <c r="I90" s="101">
        <f>ROUND(F90*H90,2)</f>
        <v>9521.01</v>
      </c>
      <c r="N90" s="452" t="s">
        <v>454</v>
      </c>
      <c r="O90" s="51"/>
      <c r="P90" s="51"/>
      <c r="Q90" s="44"/>
      <c r="R90" s="418">
        <f>F90</f>
        <v>19042026</v>
      </c>
      <c r="S90" s="38" t="s">
        <v>6</v>
      </c>
      <c r="T90" s="420">
        <f>T82</f>
        <v>5.0000000000000001E-4</v>
      </c>
      <c r="U90" s="472">
        <f>ROUND(R90*T90,2)</f>
        <v>9521.01</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5.0000000000000001E-4</v>
      </c>
      <c r="I92" s="101">
        <f t="shared" ref="I92:I96" si="14">ROUND(F92*H92,2)</f>
        <v>5720.58</v>
      </c>
      <c r="N92" s="452" t="s">
        <v>455</v>
      </c>
      <c r="O92" s="51"/>
      <c r="P92" s="51"/>
      <c r="Q92" s="44"/>
      <c r="R92" s="418">
        <f t="shared" ref="R92:R96" si="15">F92</f>
        <v>11441151</v>
      </c>
      <c r="S92" s="38" t="s">
        <v>6</v>
      </c>
      <c r="T92" s="420">
        <f>T76</f>
        <v>5.0000000000000001E-4</v>
      </c>
      <c r="U92" s="472">
        <f>ROUND(R92*T92,2)</f>
        <v>5720.58</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3.8999999999999999E-4</v>
      </c>
      <c r="I94" s="101">
        <f t="shared" si="14"/>
        <v>99745.16</v>
      </c>
      <c r="N94" s="616" t="s">
        <v>420</v>
      </c>
      <c r="O94" s="616"/>
      <c r="P94" s="616"/>
      <c r="Q94" s="44"/>
      <c r="R94" s="418">
        <f t="shared" si="15"/>
        <v>255756816</v>
      </c>
      <c r="S94" s="38" t="s">
        <v>6</v>
      </c>
      <c r="T94" s="420">
        <f>T73</f>
        <v>3.9899999999999999E-4</v>
      </c>
      <c r="U94" s="472">
        <f>ROUND(R94*T94,2)</f>
        <v>102046.97</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3.8999999999999999E-4</v>
      </c>
      <c r="I96" s="101">
        <f t="shared" si="14"/>
        <v>-618.37</v>
      </c>
      <c r="N96" s="615" t="s">
        <v>421</v>
      </c>
      <c r="O96" s="616"/>
      <c r="P96" s="616"/>
      <c r="Q96" s="44"/>
      <c r="R96" s="418">
        <f t="shared" si="15"/>
        <v>-1585559</v>
      </c>
      <c r="S96" s="38" t="s">
        <v>6</v>
      </c>
      <c r="T96" s="420">
        <f>T73</f>
        <v>3.9899999999999999E-4</v>
      </c>
      <c r="U96" s="472">
        <f>ROUND(R96*T96,2)</f>
        <v>-632.64</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4.46E-4</v>
      </c>
      <c r="I98" s="101">
        <f t="shared" ref="I98" si="16">ROUND(F98*H98,2)</f>
        <v>0</v>
      </c>
      <c r="N98" s="532" t="s">
        <v>495</v>
      </c>
      <c r="O98" s="532"/>
      <c r="P98" s="532"/>
      <c r="Q98" s="44"/>
      <c r="R98" s="535">
        <f>F98</f>
        <v>0</v>
      </c>
      <c r="S98" s="533" t="s">
        <v>6</v>
      </c>
      <c r="T98" s="420">
        <f>T70</f>
        <v>4.46E-4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91.6875</v>
      </c>
      <c r="D106" s="611"/>
      <c r="E106" s="46">
        <f>H8</f>
        <v>1.0407999999999999</v>
      </c>
      <c r="F106" s="302">
        <f>'1461'!F106</f>
        <v>910.12</v>
      </c>
      <c r="G106" s="39" t="s">
        <v>12</v>
      </c>
      <c r="H106" s="94">
        <f>ROUND(C106*E106*F106,2)</f>
        <v>86851.25</v>
      </c>
      <c r="N106" s="53" t="s">
        <v>14</v>
      </c>
      <c r="O106" s="54">
        <f>T18+T19+T22+T25+T28+T29</f>
        <v>93.75</v>
      </c>
      <c r="P106" s="626">
        <f>T8</f>
        <v>1.0407999999999999</v>
      </c>
      <c r="Q106" s="626"/>
      <c r="R106" s="48">
        <f>F106</f>
        <v>910.12</v>
      </c>
      <c r="S106" s="40" t="s">
        <v>12</v>
      </c>
      <c r="T106" s="478">
        <f>ROUND(O106*P106*R106,2)</f>
        <v>88804.96</v>
      </c>
      <c r="U106" s="51"/>
    </row>
    <row r="107" spans="1:21" ht="16.5" thickBot="1" x14ac:dyDescent="0.3">
      <c r="A107" s="55"/>
      <c r="B107" s="122" t="s">
        <v>102</v>
      </c>
      <c r="C107" s="601">
        <f>SUM(C104:C106)</f>
        <v>91.6875</v>
      </c>
      <c r="D107" s="601"/>
      <c r="E107" s="123"/>
      <c r="F107" s="123"/>
      <c r="G107" s="123"/>
      <c r="H107" s="124" t="s">
        <v>100</v>
      </c>
      <c r="I107" s="101">
        <f>IF(A1=75,0,H106+H105+H104)</f>
        <v>86851.25</v>
      </c>
      <c r="N107" s="56" t="s">
        <v>89</v>
      </c>
      <c r="O107" s="57">
        <f>SUM(O104:O106)</f>
        <v>93.75</v>
      </c>
      <c r="P107" s="627" t="s">
        <v>16</v>
      </c>
      <c r="Q107" s="628"/>
      <c r="R107" s="628"/>
      <c r="S107" s="628"/>
      <c r="T107" s="628"/>
      <c r="U107" s="472">
        <f>IF(N1=75,0,T106+T105+T104)</f>
        <v>88804.96</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66</v>
      </c>
      <c r="D113" s="143">
        <v>70</v>
      </c>
      <c r="E113" s="116">
        <f>(C113+D113)/2</f>
        <v>68</v>
      </c>
      <c r="F113" s="126" t="s">
        <v>30</v>
      </c>
      <c r="G113" s="303">
        <f>'1461'!G113</f>
        <v>567</v>
      </c>
      <c r="I113" s="101">
        <f>ROUND(G113*E113,2)</f>
        <v>38556</v>
      </c>
      <c r="N113" s="645" t="s">
        <v>52</v>
      </c>
      <c r="O113" s="645"/>
      <c r="P113" s="625">
        <f>IF(H133=1,E113,0)</f>
        <v>68</v>
      </c>
      <c r="Q113" s="625"/>
      <c r="R113" s="625"/>
      <c r="S113" s="83" t="s">
        <v>30</v>
      </c>
      <c r="T113" s="58">
        <f>G113</f>
        <v>567</v>
      </c>
      <c r="U113" s="472">
        <f>ROUND(T113*P113,2)</f>
        <v>38556</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1161299.1800000002</v>
      </c>
      <c r="N128" s="452"/>
      <c r="O128" s="451"/>
      <c r="P128" s="451"/>
      <c r="Q128" s="305"/>
      <c r="R128" s="305"/>
      <c r="S128" s="305"/>
      <c r="T128" s="305"/>
      <c r="U128" s="479">
        <f>SUM(U30,U85,U88,U90,U92,U94,U96,U107,U113,U114,U124,U126)</f>
        <v>784822.42999999993</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1127417.9900000002</v>
      </c>
      <c r="N130" s="616" t="s">
        <v>432</v>
      </c>
      <c r="O130" s="616"/>
      <c r="P130" s="616"/>
      <c r="Q130" s="616"/>
      <c r="R130" s="616"/>
      <c r="S130" s="616"/>
      <c r="T130" s="616"/>
      <c r="U130" s="132">
        <f>U128-U53</f>
        <v>750179.09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750179.09</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750179.09</v>
      </c>
      <c r="I135" s="94">
        <f>ROUND(IF(E30=0,0,IF(E30&gt;250,-(((250/E30)*H135)*IF(G135="H",0.02,0.05)),IF(G135="H",-0.02*H135,-0.05*H135))),2)</f>
        <v>-37508.949999999997</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1123790.2300000002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-187117.18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936673.05000000028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93667.31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136.83000000000001</v>
      </c>
      <c r="D18" s="143">
        <v>158.69999999999999</v>
      </c>
      <c r="E18" s="116">
        <f t="shared" si="1"/>
        <v>295.52999999999997</v>
      </c>
      <c r="F18" s="678">
        <f>'1461'!F18:G18</f>
        <v>0.97799999999999998</v>
      </c>
      <c r="G18" s="678"/>
      <c r="H18" s="80">
        <f t="shared" si="2"/>
        <v>289.0283</v>
      </c>
      <c r="I18" s="101">
        <f t="shared" si="3"/>
        <v>1603668.89</v>
      </c>
      <c r="N18" s="616" t="s">
        <v>24</v>
      </c>
      <c r="O18" s="616"/>
      <c r="P18" s="657">
        <f t="shared" si="0"/>
        <v>0</v>
      </c>
      <c r="Q18" s="657"/>
      <c r="R18" s="662">
        <v>1</v>
      </c>
      <c r="S18" s="662"/>
      <c r="T18" s="95">
        <f t="shared" si="4"/>
        <v>0</v>
      </c>
      <c r="U18" s="472">
        <f t="shared" si="5"/>
        <v>0</v>
      </c>
    </row>
    <row r="19" spans="1:21" x14ac:dyDescent="0.25">
      <c r="A19" s="593" t="s">
        <v>25</v>
      </c>
      <c r="B19" s="593"/>
      <c r="C19" s="143">
        <v>29.23</v>
      </c>
      <c r="D19" s="143">
        <v>38.130000000000003</v>
      </c>
      <c r="E19" s="116">
        <f t="shared" si="1"/>
        <v>67.36</v>
      </c>
      <c r="F19" s="678">
        <f>'1461'!F19:G19</f>
        <v>0.97799999999999998</v>
      </c>
      <c r="G19" s="678"/>
      <c r="H19" s="80">
        <f t="shared" si="2"/>
        <v>65.878100000000003</v>
      </c>
      <c r="I19" s="101">
        <f t="shared" si="3"/>
        <v>365523.58</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7.3</v>
      </c>
      <c r="D28" s="143">
        <v>9.2200000000000006</v>
      </c>
      <c r="E28" s="116">
        <f t="shared" si="1"/>
        <v>16.52</v>
      </c>
      <c r="F28" s="678">
        <f>'1461'!F28:G28</f>
        <v>1.1919999999999999</v>
      </c>
      <c r="G28" s="678"/>
      <c r="H28" s="80">
        <f t="shared" si="2"/>
        <v>19.691800000000001</v>
      </c>
      <c r="I28" s="101">
        <f t="shared" si="3"/>
        <v>109259.64</v>
      </c>
      <c r="N28" s="616" t="s">
        <v>87</v>
      </c>
      <c r="O28" s="616"/>
      <c r="P28" s="657">
        <f t="shared" si="0"/>
        <v>0</v>
      </c>
      <c r="Q28" s="657"/>
      <c r="R28" s="662">
        <v>1</v>
      </c>
      <c r="S28" s="662"/>
      <c r="T28" s="95">
        <f t="shared" si="4"/>
        <v>0</v>
      </c>
      <c r="U28" s="472">
        <f t="shared" si="5"/>
        <v>0</v>
      </c>
    </row>
    <row r="29" spans="1:21" x14ac:dyDescent="0.25">
      <c r="A29" s="593" t="s">
        <v>88</v>
      </c>
      <c r="B29" s="593"/>
      <c r="C29" s="110">
        <v>1.9</v>
      </c>
      <c r="D29" s="110">
        <v>1.78</v>
      </c>
      <c r="E29" s="154">
        <f t="shared" si="1"/>
        <v>3.6799999999999997</v>
      </c>
      <c r="F29" s="678">
        <f>'1461'!F29:G29</f>
        <v>1.079</v>
      </c>
      <c r="G29" s="678"/>
      <c r="H29" s="93">
        <f t="shared" si="2"/>
        <v>3.9706999999999999</v>
      </c>
      <c r="I29" s="94">
        <f t="shared" si="3"/>
        <v>22031.37</v>
      </c>
      <c r="N29" s="631" t="s">
        <v>88</v>
      </c>
      <c r="O29" s="631"/>
      <c r="P29" s="657">
        <f t="shared" si="0"/>
        <v>0</v>
      </c>
      <c r="Q29" s="657"/>
      <c r="R29" s="658">
        <v>1</v>
      </c>
      <c r="S29" s="658"/>
      <c r="T29" s="95">
        <f t="shared" si="4"/>
        <v>0</v>
      </c>
      <c r="U29" s="472">
        <f t="shared" si="5"/>
        <v>0</v>
      </c>
    </row>
    <row r="30" spans="1:21" x14ac:dyDescent="0.25">
      <c r="A30" s="605" t="s">
        <v>5</v>
      </c>
      <c r="B30" s="605"/>
      <c r="C30" s="94">
        <f>SUM(C14:C29)</f>
        <v>175.26000000000002</v>
      </c>
      <c r="D30" s="94">
        <f>SUM(D14:D29)</f>
        <v>207.82999999999998</v>
      </c>
      <c r="E30" s="94">
        <f>SUM(E14:E29)</f>
        <v>383.09</v>
      </c>
      <c r="F30" s="597"/>
      <c r="G30" s="597"/>
      <c r="H30" s="99">
        <f>SUM(H14:H29)</f>
        <v>378.56890000000004</v>
      </c>
      <c r="I30" s="94">
        <f>SUM(I14:I29)</f>
        <v>2100483.48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378.56890000000004</v>
      </c>
      <c r="F46" s="34"/>
      <c r="G46" s="106"/>
      <c r="H46" s="107" t="s">
        <v>98</v>
      </c>
      <c r="I46" s="94">
        <f>SUM(I44,I30)</f>
        <v>2100483.48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2100483.48</v>
      </c>
      <c r="G51" s="109" t="s">
        <v>6</v>
      </c>
      <c r="H51" s="400">
        <v>5.5899999999999998E-2</v>
      </c>
      <c r="I51" s="101">
        <f>ROUND(F51*H51,2)</f>
        <v>117417.03</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2100483.48</v>
      </c>
      <c r="G52" s="109" t="s">
        <v>6</v>
      </c>
      <c r="H52" s="400">
        <v>1.0699999999999999E-2</v>
      </c>
      <c r="I52" s="101">
        <f>ROUND(F52*H52,2)</f>
        <v>22475.17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139892.20000000001</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25.23</v>
      </c>
      <c r="D63" s="143">
        <v>33.21</v>
      </c>
      <c r="E63" s="116">
        <f t="shared" si="10"/>
        <v>58.44</v>
      </c>
      <c r="F63" s="443" t="s">
        <v>14</v>
      </c>
      <c r="G63" s="442">
        <v>251</v>
      </c>
      <c r="H63" s="456">
        <f>'1461'!H63</f>
        <v>835</v>
      </c>
      <c r="I63" s="101">
        <f t="shared" si="11"/>
        <v>48797.4</v>
      </c>
      <c r="N63" s="634"/>
      <c r="O63" s="634"/>
      <c r="P63" s="637"/>
      <c r="Q63" s="637"/>
      <c r="R63" s="40" t="s">
        <v>14</v>
      </c>
      <c r="S63" s="448">
        <v>251</v>
      </c>
      <c r="T63" s="459">
        <f t="shared" si="12"/>
        <v>835</v>
      </c>
      <c r="U63" s="473">
        <f t="shared" si="13"/>
        <v>0</v>
      </c>
      <c r="V63" s="423"/>
    </row>
    <row r="64" spans="1:22" x14ac:dyDescent="0.25">
      <c r="A64" s="604"/>
      <c r="B64" s="604"/>
      <c r="C64" s="143">
        <v>4</v>
      </c>
      <c r="D64" s="143">
        <v>4.92</v>
      </c>
      <c r="E64" s="116">
        <f t="shared" si="10"/>
        <v>8.92</v>
      </c>
      <c r="F64" s="443" t="s">
        <v>14</v>
      </c>
      <c r="G64" s="442">
        <v>252</v>
      </c>
      <c r="H64" s="456">
        <f>'1461'!H64</f>
        <v>3168</v>
      </c>
      <c r="I64" s="101">
        <f t="shared" si="11"/>
        <v>28258.560000000001</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29.23</v>
      </c>
      <c r="D66" s="97">
        <f>SUM(D57:D65)</f>
        <v>38.130000000000003</v>
      </c>
      <c r="E66" s="97">
        <f>SUM(E57:E65)</f>
        <v>67.36</v>
      </c>
      <c r="F66" s="605" t="s">
        <v>446</v>
      </c>
      <c r="G66" s="605"/>
      <c r="H66" s="605"/>
      <c r="I66" s="97">
        <f>SUM(I57:I65)</f>
        <v>77055.960000000006</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383.09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1.8220000000000001E-3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378.56890000000004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1.6119999999999999E-3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383.09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2.0409999999999998E-3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383.09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1.825E-3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383.09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2.0449999999999999E-3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1.825E-3</v>
      </c>
      <c r="I85" s="101">
        <f>ROUND(F85*H85,2)</f>
        <v>84248.76</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1.8220000000000001E-3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2.0449999999999999E-3</v>
      </c>
      <c r="I90" s="101">
        <f>ROUND(F90*H90,2)</f>
        <v>38940.94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2.0409999999999998E-3</v>
      </c>
      <c r="I92" s="101">
        <f t="shared" ref="I92:I96" si="14">ROUND(F92*H92,2)</f>
        <v>23351.39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1.6119999999999999E-3</v>
      </c>
      <c r="I94" s="101">
        <f t="shared" si="14"/>
        <v>412279.99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1.6119999999999999E-3</v>
      </c>
      <c r="I96" s="101">
        <f t="shared" si="14"/>
        <v>-2555.92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1.8220000000000001E-3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378.56890000000004</v>
      </c>
      <c r="D106" s="611"/>
      <c r="E106" s="46">
        <f>H8</f>
        <v>1.0407999999999999</v>
      </c>
      <c r="F106" s="302">
        <f>'1461'!F106</f>
        <v>910.12</v>
      </c>
      <c r="G106" s="39" t="s">
        <v>12</v>
      </c>
      <c r="H106" s="94">
        <f>ROUND(C106*E106*F106,2)</f>
        <v>358600.49</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378.56890000000004</v>
      </c>
      <c r="D107" s="601"/>
      <c r="E107" s="123"/>
      <c r="F107" s="123"/>
      <c r="G107" s="123"/>
      <c r="H107" s="124" t="s">
        <v>100</v>
      </c>
      <c r="I107" s="101">
        <f>IF(A1=75,0,H106+H105+H104)</f>
        <v>358600.49</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254</v>
      </c>
      <c r="D113" s="143">
        <v>309</v>
      </c>
      <c r="E113" s="116">
        <f>(C113+D113)/2</f>
        <v>281.5</v>
      </c>
      <c r="F113" s="126" t="s">
        <v>30</v>
      </c>
      <c r="G113" s="303">
        <f>'1461'!G113</f>
        <v>567</v>
      </c>
      <c r="I113" s="101">
        <f>ROUND(G113*E113,2)</f>
        <v>159610.5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3252015.59</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3112123.3899999997</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3112123.3899999997</v>
      </c>
      <c r="I135" s="94">
        <f>ROUND(IF(E30=0,0,IF(E30&gt;250,-(((250/E30)*H135)*IF(G135="H",0.02,0.05)),IF(G135="H",-0.02*H135,-0.05*H135))),2)</f>
        <v>-101546.74</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3150468.8499999996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-524364.62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2626104.2299999995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262610.42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54059.43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123</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96.11</v>
      </c>
      <c r="D14" s="141">
        <v>94.7</v>
      </c>
      <c r="E14" s="187">
        <f>IF(D$30=0,C14*2,C14+D14)</f>
        <v>190.81</v>
      </c>
      <c r="F14" s="682">
        <f>'1461'!F14:G14</f>
        <v>1.1180000000000001</v>
      </c>
      <c r="G14" s="682"/>
      <c r="H14" s="145">
        <f>ROUND(E14*F14,4)</f>
        <v>213.32560000000001</v>
      </c>
      <c r="I14" s="111">
        <f>ROUND(ROUND(ROUND(H14*$C$8,4)*($H$8),2)*(MAX($H$9,1)),2)</f>
        <v>1183633.67</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23</v>
      </c>
      <c r="D15" s="143">
        <v>23</v>
      </c>
      <c r="E15" s="116">
        <f t="shared" ref="E15:E29" si="1">IF(D$30=0,C15*2,C15+D15)</f>
        <v>46</v>
      </c>
      <c r="F15" s="678">
        <f>'1461'!F15:G15</f>
        <v>1.1180000000000001</v>
      </c>
      <c r="G15" s="678"/>
      <c r="H15" s="80">
        <f t="shared" ref="H15:H29" si="2">ROUND(E15*F15,4)</f>
        <v>51.427999999999997</v>
      </c>
      <c r="I15" s="101">
        <f t="shared" ref="I15:I29" si="3">ROUND(ROUND(ROUND(H15*$C$8,4)*($H$8),2)*(MAX($H$9,1)),2)</f>
        <v>285347.43</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50.22</v>
      </c>
      <c r="D16" s="143">
        <v>49.69</v>
      </c>
      <c r="E16" s="116">
        <f t="shared" si="1"/>
        <v>99.91</v>
      </c>
      <c r="F16" s="678">
        <f>'1461'!F16:G16</f>
        <v>1</v>
      </c>
      <c r="G16" s="678"/>
      <c r="H16" s="80">
        <f t="shared" si="2"/>
        <v>99.91</v>
      </c>
      <c r="I16" s="101">
        <f t="shared" si="3"/>
        <v>554349.03</v>
      </c>
      <c r="N16" s="616" t="s">
        <v>22</v>
      </c>
      <c r="O16" s="616"/>
      <c r="P16" s="657">
        <f t="shared" si="0"/>
        <v>0</v>
      </c>
      <c r="Q16" s="657"/>
      <c r="R16" s="662">
        <v>1</v>
      </c>
      <c r="S16" s="662"/>
      <c r="T16" s="95">
        <f t="shared" si="4"/>
        <v>0</v>
      </c>
      <c r="U16" s="472">
        <f t="shared" si="5"/>
        <v>0</v>
      </c>
    </row>
    <row r="17" spans="1:21" x14ac:dyDescent="0.25">
      <c r="A17" s="593" t="s">
        <v>23</v>
      </c>
      <c r="B17" s="593"/>
      <c r="C17" s="143">
        <v>12</v>
      </c>
      <c r="D17" s="143">
        <v>12.5</v>
      </c>
      <c r="E17" s="116">
        <f t="shared" si="1"/>
        <v>24.5</v>
      </c>
      <c r="F17" s="678">
        <f>'1461'!F17:G17</f>
        <v>1</v>
      </c>
      <c r="G17" s="678"/>
      <c r="H17" s="80">
        <f t="shared" si="2"/>
        <v>24.5</v>
      </c>
      <c r="I17" s="101">
        <f t="shared" si="3"/>
        <v>135937.85999999999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f>3.32+0.83+0.83+0.41</f>
        <v>5.39</v>
      </c>
      <c r="D26" s="143">
        <f>3.32+1.24+0.83+0.41</f>
        <v>5.8</v>
      </c>
      <c r="E26" s="116">
        <f t="shared" si="1"/>
        <v>11.19</v>
      </c>
      <c r="F26" s="678">
        <f>'1461'!F26:G26</f>
        <v>1.1919999999999999</v>
      </c>
      <c r="G26" s="678"/>
      <c r="H26" s="80">
        <f t="shared" si="2"/>
        <v>13.3385</v>
      </c>
      <c r="I26" s="101">
        <f t="shared" si="3"/>
        <v>74008.45</v>
      </c>
      <c r="N26" s="616" t="s">
        <v>85</v>
      </c>
      <c r="O26" s="616"/>
      <c r="P26" s="657">
        <f t="shared" si="0"/>
        <v>0</v>
      </c>
      <c r="Q26" s="657"/>
      <c r="R26" s="662">
        <v>1</v>
      </c>
      <c r="S26" s="662"/>
      <c r="T26" s="95">
        <f t="shared" si="4"/>
        <v>0</v>
      </c>
      <c r="U26" s="472">
        <f t="shared" si="5"/>
        <v>0</v>
      </c>
    </row>
    <row r="27" spans="1:21" x14ac:dyDescent="0.25">
      <c r="A27" s="593" t="s">
        <v>86</v>
      </c>
      <c r="B27" s="593"/>
      <c r="C27" s="143">
        <v>0.78</v>
      </c>
      <c r="D27" s="143">
        <v>0.82</v>
      </c>
      <c r="E27" s="116">
        <f t="shared" si="1"/>
        <v>1.6</v>
      </c>
      <c r="F27" s="678">
        <f>'1461'!F27:G27</f>
        <v>1.1919999999999999</v>
      </c>
      <c r="G27" s="678"/>
      <c r="H27" s="80">
        <f t="shared" si="2"/>
        <v>1.9072</v>
      </c>
      <c r="I27" s="101">
        <f t="shared" si="3"/>
        <v>10582.07</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187.49999999999997</v>
      </c>
      <c r="D30" s="94">
        <f>SUM(D14:D29)</f>
        <v>186.51</v>
      </c>
      <c r="E30" s="94">
        <f>SUM(E14:E29)</f>
        <v>374.01000000000005</v>
      </c>
      <c r="F30" s="597"/>
      <c r="G30" s="597"/>
      <c r="H30" s="99">
        <f>SUM(H14:H29)</f>
        <v>404.40929999999997</v>
      </c>
      <c r="I30" s="94">
        <f>SUM(I14:I29)</f>
        <v>2243858.5099999998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404.40929999999997</v>
      </c>
      <c r="F46" s="34"/>
      <c r="G46" s="106"/>
      <c r="H46" s="107" t="s">
        <v>98</v>
      </c>
      <c r="I46" s="94">
        <f>SUM(I44,I30)</f>
        <v>2243858.5099999998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2243858.5099999998</v>
      </c>
      <c r="G51" s="109" t="s">
        <v>6</v>
      </c>
      <c r="H51" s="400">
        <v>5.5899999999999998E-2</v>
      </c>
      <c r="I51" s="101">
        <f>ROUND(F51*H51,2)</f>
        <v>125431.69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2243858.5099999998</v>
      </c>
      <c r="G52" s="109" t="s">
        <v>6</v>
      </c>
      <c r="H52" s="400">
        <v>1.0699999999999999E-2</v>
      </c>
      <c r="I52" s="101">
        <f>ROUND(F52*H52,2)</f>
        <v>24009.29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149440.98000000001</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20.5</v>
      </c>
      <c r="D57" s="143">
        <v>20.49</v>
      </c>
      <c r="E57" s="116">
        <f t="shared" ref="E57:E65" si="10">IF(D$66=0,C57*2,C57+D57)</f>
        <v>40.989999999999995</v>
      </c>
      <c r="F57" s="442" t="s">
        <v>437</v>
      </c>
      <c r="G57" s="442">
        <v>251</v>
      </c>
      <c r="H57" s="456">
        <f>'1461'!H57</f>
        <v>1047</v>
      </c>
      <c r="I57" s="101">
        <f>ROUND(E57*H57,2)</f>
        <v>42916.53</v>
      </c>
      <c r="N57" s="633" t="s">
        <v>445</v>
      </c>
      <c r="O57" s="633"/>
      <c r="P57" s="636"/>
      <c r="Q57" s="636"/>
      <c r="R57" s="448" t="s">
        <v>437</v>
      </c>
      <c r="S57" s="448">
        <v>251</v>
      </c>
      <c r="T57" s="459">
        <f>H57</f>
        <v>1047</v>
      </c>
      <c r="U57" s="473">
        <f>ROUND(P57*T57,2)</f>
        <v>0</v>
      </c>
      <c r="V57" s="423"/>
    </row>
    <row r="58" spans="1:22" x14ac:dyDescent="0.25">
      <c r="A58" s="604"/>
      <c r="B58" s="604"/>
      <c r="C58" s="143">
        <v>2.5</v>
      </c>
      <c r="D58" s="143">
        <v>2.5099999999999998</v>
      </c>
      <c r="E58" s="116">
        <f t="shared" si="10"/>
        <v>5.01</v>
      </c>
      <c r="F58" s="442" t="s">
        <v>437</v>
      </c>
      <c r="G58" s="442">
        <v>252</v>
      </c>
      <c r="H58" s="456">
        <f>'1461'!H58</f>
        <v>3380</v>
      </c>
      <c r="I58" s="101">
        <f t="shared" ref="I58:I65" si="11">ROUND(E58*H58,2)</f>
        <v>16933.8</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11.5</v>
      </c>
      <c r="D60" s="143">
        <v>12</v>
      </c>
      <c r="E60" s="116">
        <f t="shared" si="10"/>
        <v>23.5</v>
      </c>
      <c r="F60" s="443" t="s">
        <v>13</v>
      </c>
      <c r="G60" s="442">
        <v>251</v>
      </c>
      <c r="H60" s="456">
        <f>'1461'!H60</f>
        <v>1173</v>
      </c>
      <c r="I60" s="101">
        <f t="shared" si="11"/>
        <v>27565.5</v>
      </c>
      <c r="N60" s="634"/>
      <c r="O60" s="634"/>
      <c r="P60" s="637"/>
      <c r="Q60" s="637"/>
      <c r="R60" s="40" t="s">
        <v>13</v>
      </c>
      <c r="S60" s="448">
        <v>251</v>
      </c>
      <c r="T60" s="459">
        <f t="shared" si="12"/>
        <v>1173</v>
      </c>
      <c r="U60" s="473">
        <f t="shared" si="13"/>
        <v>0</v>
      </c>
      <c r="V60" s="423"/>
    </row>
    <row r="61" spans="1:22" x14ac:dyDescent="0.25">
      <c r="A61" s="604"/>
      <c r="B61" s="604"/>
      <c r="C61" s="143">
        <v>0.5</v>
      </c>
      <c r="D61" s="143">
        <v>0.5</v>
      </c>
      <c r="E61" s="116">
        <f t="shared" si="10"/>
        <v>1</v>
      </c>
      <c r="F61" s="443" t="s">
        <v>13</v>
      </c>
      <c r="G61" s="442">
        <v>252</v>
      </c>
      <c r="H61" s="456">
        <f>'1461'!H61</f>
        <v>3506</v>
      </c>
      <c r="I61" s="101">
        <f t="shared" si="11"/>
        <v>3506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35</v>
      </c>
      <c r="D66" s="97">
        <f>SUM(D57:D65)</f>
        <v>35.5</v>
      </c>
      <c r="E66" s="97">
        <f>SUM(E57:E65)</f>
        <v>70.5</v>
      </c>
      <c r="F66" s="605" t="s">
        <v>446</v>
      </c>
      <c r="G66" s="605"/>
      <c r="H66" s="605"/>
      <c r="I66" s="97">
        <f>SUM(I57:I65)</f>
        <v>90921.83</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374.01000000000005</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1.779E-3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404.40929999999997</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1.722E-3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374.01000000000005</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1.993E-3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374.01000000000005</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1.7819999999999999E-3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374.01000000000005</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1.9970000000000001E-3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1.7819999999999999E-3</v>
      </c>
      <c r="I85" s="101">
        <f>ROUND(F85*H85,2)</f>
        <v>82263.72</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1.779E-3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1.9970000000000001E-3</v>
      </c>
      <c r="I90" s="101">
        <f>ROUND(F90*H90,2)</f>
        <v>38026.93</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1.993E-3</v>
      </c>
      <c r="I92" s="101">
        <f t="shared" ref="I92:I96" si="14">ROUND(F92*H92,2)</f>
        <v>22802.21</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1.722E-3</v>
      </c>
      <c r="I94" s="101">
        <f t="shared" si="14"/>
        <v>440413.24</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1.722E-3</v>
      </c>
      <c r="I96" s="101">
        <f t="shared" si="14"/>
        <v>-2730.33</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1.779E-3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278.09210000000002</v>
      </c>
      <c r="D104" s="611"/>
      <c r="E104" s="46">
        <f>H8</f>
        <v>1.0407999999999999</v>
      </c>
      <c r="F104" s="302">
        <f>'1461'!F104</f>
        <v>950.92</v>
      </c>
      <c r="G104" s="39" t="s">
        <v>12</v>
      </c>
      <c r="H104" s="101">
        <f>ROUND(C104*E104*F104,2)</f>
        <v>275232.63</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126.3172</v>
      </c>
      <c r="D105" s="611"/>
      <c r="E105" s="46">
        <f>H8</f>
        <v>1.0407999999999999</v>
      </c>
      <c r="F105" s="302">
        <f>'1461'!F105</f>
        <v>907.92</v>
      </c>
      <c r="G105" s="39" t="s">
        <v>12</v>
      </c>
      <c r="H105" s="101">
        <f>ROUND(C105*E105*F105,2)</f>
        <v>119365.1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404.40930000000003</v>
      </c>
      <c r="D107" s="601"/>
      <c r="E107" s="123"/>
      <c r="F107" s="123"/>
      <c r="G107" s="123"/>
      <c r="H107" s="124" t="s">
        <v>100</v>
      </c>
      <c r="I107" s="101">
        <f>IF(A1=75,0,H106+H105+H104)</f>
        <v>394597.73</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(C113+D113)/2</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3310153.8400000003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3160712.8600000003</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3160712.8600000003</v>
      </c>
      <c r="I135" s="94">
        <f>ROUND(IF(E30=0,0,IF(E30&gt;250,-(((250/E30)*H135)*IF(G135="H",0.02,0.05)),IF(G135="H",-0.02*H135,-0.05*H135))),2)</f>
        <v>-42254.39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3267899.45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-543724.59000000008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2724174.8600000003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272417.49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20959.87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132.65</v>
      </c>
      <c r="D18" s="143">
        <v>177.44</v>
      </c>
      <c r="E18" s="116">
        <f t="shared" si="1"/>
        <v>310.09000000000003</v>
      </c>
      <c r="F18" s="678">
        <f>'1461'!F18:G18</f>
        <v>0.97799999999999998</v>
      </c>
      <c r="G18" s="678"/>
      <c r="H18" s="80">
        <f t="shared" si="2"/>
        <v>303.26799999999997</v>
      </c>
      <c r="I18" s="101">
        <f t="shared" si="3"/>
        <v>1682677.64</v>
      </c>
      <c r="N18" s="616" t="s">
        <v>24</v>
      </c>
      <c r="O18" s="616"/>
      <c r="P18" s="657">
        <f t="shared" si="0"/>
        <v>0</v>
      </c>
      <c r="Q18" s="657"/>
      <c r="R18" s="662">
        <v>1</v>
      </c>
      <c r="S18" s="662"/>
      <c r="T18" s="95">
        <f t="shared" si="4"/>
        <v>0</v>
      </c>
      <c r="U18" s="472">
        <f t="shared" si="5"/>
        <v>0</v>
      </c>
    </row>
    <row r="19" spans="1:21" x14ac:dyDescent="0.25">
      <c r="A19" s="593" t="s">
        <v>25</v>
      </c>
      <c r="B19" s="593"/>
      <c r="C19" s="143">
        <v>28.43</v>
      </c>
      <c r="D19" s="143">
        <v>42.58</v>
      </c>
      <c r="E19" s="116">
        <f t="shared" si="1"/>
        <v>71.009999999999991</v>
      </c>
      <c r="F19" s="678">
        <f>'1461'!F19:G19</f>
        <v>0.97799999999999998</v>
      </c>
      <c r="G19" s="678"/>
      <c r="H19" s="80">
        <f t="shared" si="2"/>
        <v>69.447800000000001</v>
      </c>
      <c r="I19" s="101">
        <f t="shared" si="3"/>
        <v>385330.01</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11.4</v>
      </c>
      <c r="D28" s="143">
        <v>11.21</v>
      </c>
      <c r="E28" s="116">
        <f t="shared" si="1"/>
        <v>22.61</v>
      </c>
      <c r="F28" s="678">
        <f>'1461'!F28:G28</f>
        <v>1.1919999999999999</v>
      </c>
      <c r="G28" s="678"/>
      <c r="H28" s="80">
        <f t="shared" si="2"/>
        <v>26.9511</v>
      </c>
      <c r="I28" s="101">
        <f t="shared" si="3"/>
        <v>149537.75</v>
      </c>
      <c r="N28" s="616" t="s">
        <v>87</v>
      </c>
      <c r="O28" s="616"/>
      <c r="P28" s="657">
        <f t="shared" si="0"/>
        <v>0</v>
      </c>
      <c r="Q28" s="657"/>
      <c r="R28" s="662">
        <v>1</v>
      </c>
      <c r="S28" s="662"/>
      <c r="T28" s="95">
        <f t="shared" si="4"/>
        <v>0</v>
      </c>
      <c r="U28" s="472">
        <f t="shared" si="5"/>
        <v>0</v>
      </c>
    </row>
    <row r="29" spans="1:21" x14ac:dyDescent="0.25">
      <c r="A29" s="593" t="s">
        <v>88</v>
      </c>
      <c r="B29" s="593"/>
      <c r="C29" s="110">
        <v>1.2</v>
      </c>
      <c r="D29" s="110">
        <v>1.5</v>
      </c>
      <c r="E29" s="154">
        <f t="shared" si="1"/>
        <v>2.7</v>
      </c>
      <c r="F29" s="678">
        <f>'1461'!F29:G29</f>
        <v>1.079</v>
      </c>
      <c r="G29" s="678"/>
      <c r="H29" s="93">
        <f t="shared" si="2"/>
        <v>2.9133</v>
      </c>
      <c r="I29" s="94">
        <f t="shared" si="3"/>
        <v>16164.4</v>
      </c>
      <c r="N29" s="631" t="s">
        <v>88</v>
      </c>
      <c r="O29" s="631"/>
      <c r="P29" s="657">
        <f t="shared" si="0"/>
        <v>0</v>
      </c>
      <c r="Q29" s="657"/>
      <c r="R29" s="658">
        <v>1</v>
      </c>
      <c r="S29" s="658"/>
      <c r="T29" s="95">
        <f t="shared" si="4"/>
        <v>0</v>
      </c>
      <c r="U29" s="472">
        <f t="shared" si="5"/>
        <v>0</v>
      </c>
    </row>
    <row r="30" spans="1:21" x14ac:dyDescent="0.25">
      <c r="A30" s="605" t="s">
        <v>5</v>
      </c>
      <c r="B30" s="605"/>
      <c r="C30" s="94">
        <f>SUM(C14:C29)</f>
        <v>173.68</v>
      </c>
      <c r="D30" s="94">
        <f>SUM(D14:D29)</f>
        <v>232.73</v>
      </c>
      <c r="E30" s="94">
        <f>SUM(E14:E29)</f>
        <v>406.41</v>
      </c>
      <c r="F30" s="597"/>
      <c r="G30" s="597"/>
      <c r="H30" s="99">
        <f>SUM(H14:H29)</f>
        <v>402.58019999999993</v>
      </c>
      <c r="I30" s="94">
        <f>SUM(I14:I29)</f>
        <v>2233709.7999999998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402.58019999999993</v>
      </c>
      <c r="F46" s="34"/>
      <c r="G46" s="106"/>
      <c r="H46" s="107" t="s">
        <v>98</v>
      </c>
      <c r="I46" s="94">
        <f>SUM(I44,I30)</f>
        <v>2233709.7999999998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2233709.7999999998</v>
      </c>
      <c r="G51" s="109" t="s">
        <v>6</v>
      </c>
      <c r="H51" s="400">
        <v>5.5899999999999998E-2</v>
      </c>
      <c r="I51" s="101">
        <f>ROUND(F51*H51,2)</f>
        <v>124864.38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2233709.7999999998</v>
      </c>
      <c r="G52" s="109" t="s">
        <v>6</v>
      </c>
      <c r="H52" s="400">
        <v>1.0699999999999999E-2</v>
      </c>
      <c r="I52" s="101">
        <f>ROUND(F52*H52,2)</f>
        <v>23900.69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148765.07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27.93</v>
      </c>
      <c r="D63" s="143">
        <v>39.869999999999997</v>
      </c>
      <c r="E63" s="116">
        <f t="shared" si="10"/>
        <v>67.8</v>
      </c>
      <c r="F63" s="443" t="s">
        <v>14</v>
      </c>
      <c r="G63" s="442">
        <v>251</v>
      </c>
      <c r="H63" s="456">
        <f>'1461'!H63</f>
        <v>835</v>
      </c>
      <c r="I63" s="101">
        <f t="shared" si="11"/>
        <v>56613</v>
      </c>
      <c r="N63" s="634"/>
      <c r="O63" s="634"/>
      <c r="P63" s="637"/>
      <c r="Q63" s="637"/>
      <c r="R63" s="40" t="s">
        <v>14</v>
      </c>
      <c r="S63" s="448">
        <v>251</v>
      </c>
      <c r="T63" s="459">
        <f t="shared" si="12"/>
        <v>835</v>
      </c>
      <c r="U63" s="473">
        <f t="shared" si="13"/>
        <v>0</v>
      </c>
      <c r="V63" s="423"/>
    </row>
    <row r="64" spans="1:22" x14ac:dyDescent="0.25">
      <c r="A64" s="604"/>
      <c r="B64" s="604"/>
      <c r="C64" s="143">
        <v>0.5</v>
      </c>
      <c r="D64" s="143">
        <v>2.31</v>
      </c>
      <c r="E64" s="116">
        <f t="shared" si="10"/>
        <v>2.81</v>
      </c>
      <c r="F64" s="443" t="s">
        <v>14</v>
      </c>
      <c r="G64" s="442">
        <v>252</v>
      </c>
      <c r="H64" s="456">
        <f>'1461'!H64</f>
        <v>3168</v>
      </c>
      <c r="I64" s="101">
        <f t="shared" si="11"/>
        <v>8902.08</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0.4</v>
      </c>
      <c r="E65" s="116">
        <f t="shared" si="10"/>
        <v>0.4</v>
      </c>
      <c r="F65" s="443" t="s">
        <v>14</v>
      </c>
      <c r="G65" s="442">
        <v>253</v>
      </c>
      <c r="H65" s="456">
        <f>'1461'!H65</f>
        <v>6685</v>
      </c>
      <c r="I65" s="101">
        <f t="shared" si="11"/>
        <v>2674</v>
      </c>
      <c r="N65" s="634"/>
      <c r="O65" s="634"/>
      <c r="P65" s="638"/>
      <c r="Q65" s="638"/>
      <c r="R65" s="40" t="s">
        <v>14</v>
      </c>
      <c r="S65" s="448">
        <v>253</v>
      </c>
      <c r="T65" s="459">
        <f t="shared" si="12"/>
        <v>6685</v>
      </c>
      <c r="U65" s="474">
        <f t="shared" si="13"/>
        <v>0</v>
      </c>
      <c r="V65" s="423"/>
    </row>
    <row r="66" spans="1:22" ht="16.5" thickBot="1" x14ac:dyDescent="0.3">
      <c r="A66" s="439"/>
      <c r="C66" s="97">
        <f>SUM(C57:C65)</f>
        <v>28.43</v>
      </c>
      <c r="D66" s="97">
        <f>SUM(D57:D65)</f>
        <v>42.58</v>
      </c>
      <c r="E66" s="97">
        <f>SUM(E57:E65)</f>
        <v>71.010000000000005</v>
      </c>
      <c r="F66" s="605" t="s">
        <v>446</v>
      </c>
      <c r="G66" s="605"/>
      <c r="H66" s="605"/>
      <c r="I66" s="97">
        <f>SUM(I57:I65)</f>
        <v>68189.08</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406.41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1.933E-3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402.58019999999993</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1.714E-3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406.41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2.166E-3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406.41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1.936E-3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406.41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2.1700000000000001E-3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1.936E-3</v>
      </c>
      <c r="I85" s="101">
        <f>ROUND(F85*H85,2)</f>
        <v>89372.93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1.933E-3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2.1700000000000001E-3</v>
      </c>
      <c r="I90" s="101">
        <f>ROUND(F90*H90,2)</f>
        <v>41321.199999999997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2.166E-3</v>
      </c>
      <c r="I92" s="101">
        <f t="shared" ref="I92:I96" si="14">ROUND(F92*H92,2)</f>
        <v>24781.53</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1.714E-3</v>
      </c>
      <c r="I94" s="101">
        <f t="shared" si="14"/>
        <v>438367.18</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1.714E-3</v>
      </c>
      <c r="I96" s="101">
        <f t="shared" si="14"/>
        <v>-2717.65</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1.933E-3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402.58019999999993</v>
      </c>
      <c r="D106" s="611"/>
      <c r="E106" s="46">
        <f>H8</f>
        <v>1.0407999999999999</v>
      </c>
      <c r="F106" s="302">
        <f>'1461'!F106</f>
        <v>910.12</v>
      </c>
      <c r="G106" s="39" t="s">
        <v>12</v>
      </c>
      <c r="H106" s="94">
        <f>ROUND(C106*E106*F106,2)</f>
        <v>381345.26</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402.58019999999993</v>
      </c>
      <c r="D107" s="601"/>
      <c r="E107" s="123"/>
      <c r="F107" s="123"/>
      <c r="G107" s="123"/>
      <c r="H107" s="124" t="s">
        <v>100</v>
      </c>
      <c r="I107" s="101">
        <f>IF(A1=75,0,H106+H105+H104)</f>
        <v>381345.26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102</v>
      </c>
      <c r="D113" s="143">
        <v>141</v>
      </c>
      <c r="E113" s="116">
        <f>(C113+D113)/2</f>
        <v>121.5</v>
      </c>
      <c r="F113" s="126" t="s">
        <v>30</v>
      </c>
      <c r="G113" s="303">
        <f>'1461'!G113</f>
        <v>567</v>
      </c>
      <c r="I113" s="101">
        <f>ROUND(G113*E113,2)</f>
        <v>68890.5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3343259.83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3194494.7600000002</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3194494.7600000002</v>
      </c>
      <c r="I135" s="94">
        <f>ROUND(IF(E30=0,0,IF(E30&gt;250,-(((250/E30)*H135)*IF(G135="H",0.02,0.05)),IF(G135="H",-0.02*H135,-0.05*H135))),2)</f>
        <v>-98253.45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3245006.38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-539962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2705044.38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270504.44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61471.29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192.02</v>
      </c>
      <c r="D14" s="141">
        <v>185.29</v>
      </c>
      <c r="E14" s="187">
        <f>IF(D$30=0,C14*2,C14+D14)</f>
        <v>377.31</v>
      </c>
      <c r="F14" s="682">
        <f>'1461'!F14:G14</f>
        <v>1.1180000000000001</v>
      </c>
      <c r="G14" s="682"/>
      <c r="H14" s="145">
        <f>ROUND(E14*F14,4)</f>
        <v>421.83260000000001</v>
      </c>
      <c r="I14" s="111">
        <f>ROUND(ROUND(ROUND(H14*$C$8,4)*($H$8),2)*(MAX($H$9,1)),2)</f>
        <v>2340531.42</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29.5</v>
      </c>
      <c r="D15" s="143">
        <v>32.9</v>
      </c>
      <c r="E15" s="116">
        <f t="shared" ref="E15:E29" si="1">IF(D$30=0,C15*2,C15+D15)</f>
        <v>62.4</v>
      </c>
      <c r="F15" s="678">
        <f>'1461'!F15:G15</f>
        <v>1.1180000000000001</v>
      </c>
      <c r="G15" s="678"/>
      <c r="H15" s="80">
        <f t="shared" ref="H15:H29" si="2">ROUND(E15*F15,4)</f>
        <v>69.763199999999998</v>
      </c>
      <c r="I15" s="101">
        <f t="shared" ref="I15:I29" si="3">ROUND(ROUND(ROUND(H15*$C$8,4)*($H$8),2)*(MAX($H$9,1)),2)</f>
        <v>387080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220.73</v>
      </c>
      <c r="D16" s="143">
        <v>215.58</v>
      </c>
      <c r="E16" s="116">
        <f t="shared" si="1"/>
        <v>436.31</v>
      </c>
      <c r="F16" s="678">
        <f>'1461'!F16:G16</f>
        <v>1</v>
      </c>
      <c r="G16" s="678"/>
      <c r="H16" s="80">
        <f t="shared" si="2"/>
        <v>436.31</v>
      </c>
      <c r="I16" s="101">
        <f t="shared" si="3"/>
        <v>2420859.0499999998</v>
      </c>
      <c r="N16" s="616" t="s">
        <v>22</v>
      </c>
      <c r="O16" s="616"/>
      <c r="P16" s="657">
        <f t="shared" si="0"/>
        <v>0</v>
      </c>
      <c r="Q16" s="657"/>
      <c r="R16" s="662">
        <v>1</v>
      </c>
      <c r="S16" s="662"/>
      <c r="T16" s="95">
        <f t="shared" si="4"/>
        <v>0</v>
      </c>
      <c r="U16" s="472">
        <f t="shared" si="5"/>
        <v>0</v>
      </c>
    </row>
    <row r="17" spans="1:21" x14ac:dyDescent="0.25">
      <c r="A17" s="593" t="s">
        <v>23</v>
      </c>
      <c r="B17" s="593"/>
      <c r="C17" s="143">
        <v>32</v>
      </c>
      <c r="D17" s="143">
        <v>28.48</v>
      </c>
      <c r="E17" s="116">
        <f t="shared" si="1"/>
        <v>60.480000000000004</v>
      </c>
      <c r="F17" s="678">
        <f>'1461'!F17:G17</f>
        <v>1</v>
      </c>
      <c r="G17" s="678"/>
      <c r="H17" s="80">
        <f t="shared" si="2"/>
        <v>60.48</v>
      </c>
      <c r="I17" s="101">
        <f t="shared" si="3"/>
        <v>335572.31</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18.48</v>
      </c>
      <c r="D26" s="143">
        <v>19.36</v>
      </c>
      <c r="E26" s="116">
        <f t="shared" si="1"/>
        <v>37.840000000000003</v>
      </c>
      <c r="F26" s="678">
        <f>'1461'!F26:G26</f>
        <v>1.1919999999999999</v>
      </c>
      <c r="G26" s="678"/>
      <c r="H26" s="80">
        <f t="shared" si="2"/>
        <v>45.1053</v>
      </c>
      <c r="I26" s="101">
        <f t="shared" si="3"/>
        <v>250266.03</v>
      </c>
      <c r="N26" s="616" t="s">
        <v>85</v>
      </c>
      <c r="O26" s="616"/>
      <c r="P26" s="657">
        <f t="shared" si="0"/>
        <v>0</v>
      </c>
      <c r="Q26" s="657"/>
      <c r="R26" s="662">
        <v>1</v>
      </c>
      <c r="S26" s="662"/>
      <c r="T26" s="95">
        <f t="shared" si="4"/>
        <v>0</v>
      </c>
      <c r="U26" s="472">
        <f t="shared" si="5"/>
        <v>0</v>
      </c>
    </row>
    <row r="27" spans="1:21" x14ac:dyDescent="0.25">
      <c r="A27" s="593" t="s">
        <v>86</v>
      </c>
      <c r="B27" s="593"/>
      <c r="C27" s="143">
        <v>4.3499999999999996</v>
      </c>
      <c r="D27" s="143">
        <v>5.86</v>
      </c>
      <c r="E27" s="116">
        <f t="shared" si="1"/>
        <v>10.210000000000001</v>
      </c>
      <c r="F27" s="678">
        <f>'1461'!F27:G27</f>
        <v>1.1919999999999999</v>
      </c>
      <c r="G27" s="678"/>
      <c r="H27" s="80">
        <f t="shared" si="2"/>
        <v>12.170299999999999</v>
      </c>
      <c r="I27" s="101">
        <f t="shared" si="3"/>
        <v>67526.710000000006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497.08000000000004</v>
      </c>
      <c r="D30" s="94">
        <f>SUM(D14:D29)</f>
        <v>487.47</v>
      </c>
      <c r="E30" s="94">
        <f>SUM(E14:E29)</f>
        <v>984.55000000000007</v>
      </c>
      <c r="F30" s="597"/>
      <c r="G30" s="597"/>
      <c r="H30" s="99">
        <f>SUM(H14:H29)</f>
        <v>1045.6614</v>
      </c>
      <c r="I30" s="94">
        <f>SUM(I14:I29)</f>
        <v>5801835.5199999996</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1045.6614</v>
      </c>
      <c r="F46" s="34"/>
      <c r="G46" s="106"/>
      <c r="H46" s="107" t="s">
        <v>98</v>
      </c>
      <c r="I46" s="94">
        <f>SUM(I44,I30)</f>
        <v>5801835.5199999996</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5801835.5199999996</v>
      </c>
      <c r="G51" s="109" t="s">
        <v>6</v>
      </c>
      <c r="H51" s="400">
        <v>5.5899999999999998E-2</v>
      </c>
      <c r="I51" s="101">
        <f>ROUND(F51*H51,2)</f>
        <v>324322.61</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5801835.5199999996</v>
      </c>
      <c r="G52" s="109" t="s">
        <v>6</v>
      </c>
      <c r="H52" s="400">
        <v>1.0699999999999999E-2</v>
      </c>
      <c r="I52" s="101">
        <f>ROUND(F52*H52,2)</f>
        <v>62079.64</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386402.25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26.5</v>
      </c>
      <c r="D57" s="143">
        <v>28.99</v>
      </c>
      <c r="E57" s="116">
        <f t="shared" ref="E57:E65" si="10">IF(D$66=0,C57*2,C57+D57)</f>
        <v>55.489999999999995</v>
      </c>
      <c r="F57" s="442" t="s">
        <v>437</v>
      </c>
      <c r="G57" s="442">
        <v>251</v>
      </c>
      <c r="H57" s="456">
        <f>'1461'!H57</f>
        <v>1047</v>
      </c>
      <c r="I57" s="101">
        <f>ROUND(E57*H57,2)</f>
        <v>58098.03</v>
      </c>
      <c r="N57" s="633" t="s">
        <v>445</v>
      </c>
      <c r="O57" s="633"/>
      <c r="P57" s="636"/>
      <c r="Q57" s="636"/>
      <c r="R57" s="448" t="s">
        <v>437</v>
      </c>
      <c r="S57" s="448">
        <v>251</v>
      </c>
      <c r="T57" s="459">
        <f>H57</f>
        <v>1047</v>
      </c>
      <c r="U57" s="473">
        <f>ROUND(P57*T57,2)</f>
        <v>0</v>
      </c>
      <c r="V57" s="423"/>
    </row>
    <row r="58" spans="1:22" x14ac:dyDescent="0.25">
      <c r="A58" s="604"/>
      <c r="B58" s="604"/>
      <c r="C58" s="143">
        <v>3</v>
      </c>
      <c r="D58" s="143">
        <v>3.91</v>
      </c>
      <c r="E58" s="116">
        <f t="shared" si="10"/>
        <v>6.91</v>
      </c>
      <c r="F58" s="442" t="s">
        <v>437</v>
      </c>
      <c r="G58" s="442">
        <v>252</v>
      </c>
      <c r="H58" s="456">
        <f>'1461'!H58</f>
        <v>3380</v>
      </c>
      <c r="I58" s="101">
        <f t="shared" ref="I58:I65" si="11">ROUND(E58*H58,2)</f>
        <v>23355.8</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28</v>
      </c>
      <c r="D60" s="143">
        <v>24.47</v>
      </c>
      <c r="E60" s="116">
        <f t="shared" si="10"/>
        <v>52.47</v>
      </c>
      <c r="F60" s="443" t="s">
        <v>13</v>
      </c>
      <c r="G60" s="442">
        <v>251</v>
      </c>
      <c r="H60" s="456">
        <f>'1461'!H60</f>
        <v>1173</v>
      </c>
      <c r="I60" s="101">
        <f t="shared" si="11"/>
        <v>61547.31</v>
      </c>
      <c r="N60" s="634"/>
      <c r="O60" s="634"/>
      <c r="P60" s="637"/>
      <c r="Q60" s="637"/>
      <c r="R60" s="40" t="s">
        <v>13</v>
      </c>
      <c r="S60" s="448">
        <v>251</v>
      </c>
      <c r="T60" s="459">
        <f t="shared" si="12"/>
        <v>1173</v>
      </c>
      <c r="U60" s="473">
        <f t="shared" si="13"/>
        <v>0</v>
      </c>
      <c r="V60" s="423"/>
    </row>
    <row r="61" spans="1:22" x14ac:dyDescent="0.25">
      <c r="A61" s="604"/>
      <c r="B61" s="604"/>
      <c r="C61" s="143">
        <v>4</v>
      </c>
      <c r="D61" s="143">
        <v>4.01</v>
      </c>
      <c r="E61" s="116">
        <f t="shared" si="10"/>
        <v>8.01</v>
      </c>
      <c r="F61" s="443" t="s">
        <v>13</v>
      </c>
      <c r="G61" s="442">
        <v>252</v>
      </c>
      <c r="H61" s="456">
        <f>'1461'!H61</f>
        <v>3506</v>
      </c>
      <c r="I61" s="101">
        <f t="shared" si="11"/>
        <v>28083.06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61.5</v>
      </c>
      <c r="D66" s="97">
        <f>SUM(D57:D65)</f>
        <v>61.379999999999995</v>
      </c>
      <c r="E66" s="97">
        <f>SUM(E57:E65)</f>
        <v>122.88</v>
      </c>
      <c r="F66" s="605" t="s">
        <v>446</v>
      </c>
      <c r="G66" s="605"/>
      <c r="H66" s="605"/>
      <c r="I66" s="97">
        <f>SUM(I57:I65)</f>
        <v>171084.2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984.55000000000007</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4.6829999999999997E-3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1045.6614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4.4520000000000002E-3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984.55000000000007</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5.2459999999999998E-3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984.55000000000007</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4.6909999999999999E-3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984.55000000000007</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5.2560000000000003E-3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4.6909999999999999E-3</v>
      </c>
      <c r="I85" s="101">
        <f>ROUND(F85*H85,2)</f>
        <v>216553.94</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4.6829999999999997E-3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5.2560000000000003E-3</v>
      </c>
      <c r="I90" s="101">
        <f>ROUND(F90*H90,2)</f>
        <v>100084.89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5.2459999999999998E-3</v>
      </c>
      <c r="I92" s="101">
        <f t="shared" ref="I92:I96" si="14">ROUND(F92*H92,2)</f>
        <v>60020.28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4.4520000000000002E-3</v>
      </c>
      <c r="I94" s="101">
        <f t="shared" si="14"/>
        <v>1138629.3400000001</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4.4520000000000002E-3</v>
      </c>
      <c r="I96" s="101">
        <f t="shared" si="14"/>
        <v>-7058.91</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4.6829999999999997E-3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536.7011</v>
      </c>
      <c r="D104" s="611"/>
      <c r="E104" s="46">
        <f>H8</f>
        <v>1.0407999999999999</v>
      </c>
      <c r="F104" s="302">
        <f>'1461'!F104</f>
        <v>950.92</v>
      </c>
      <c r="G104" s="39" t="s">
        <v>12</v>
      </c>
      <c r="H104" s="101">
        <f>ROUND(C104*E104*F104,2)</f>
        <v>531182.49</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508.96030000000002</v>
      </c>
      <c r="D105" s="611"/>
      <c r="E105" s="46">
        <f>H8</f>
        <v>1.0407999999999999</v>
      </c>
      <c r="F105" s="302">
        <f>'1461'!F105</f>
        <v>907.92</v>
      </c>
      <c r="G105" s="39" t="s">
        <v>12</v>
      </c>
      <c r="H105" s="101">
        <f>ROUND(C105*E105*F105,2)</f>
        <v>480948.72</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1045.6614</v>
      </c>
      <c r="D107" s="601"/>
      <c r="E107" s="123"/>
      <c r="F107" s="123"/>
      <c r="G107" s="123"/>
      <c r="H107" s="124" t="s">
        <v>100</v>
      </c>
      <c r="I107" s="101">
        <f>IF(A1=75,0,H106+H105+H104)</f>
        <v>1012131.21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23</v>
      </c>
      <c r="D113" s="143">
        <v>22</v>
      </c>
      <c r="E113" s="116">
        <f>(C113+D113)/2</f>
        <v>22.5</v>
      </c>
      <c r="F113" s="126" t="s">
        <v>30</v>
      </c>
      <c r="G113" s="303">
        <f>'1461'!G113</f>
        <v>567</v>
      </c>
      <c r="I113" s="101">
        <f>ROUND(G113*E113,2)</f>
        <v>12757.5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8506037.9699999988</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8119635.7199999988</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8119635.7199999988</v>
      </c>
      <c r="I135" s="94">
        <f>ROUND(IF(E30=0,0,IF(E30&gt;250,-(((250/E30)*H135)*IF(G135="H",0.02,0.05)),IF(G135="H",-0.02*H135,-0.05*H135))),2)</f>
        <v>-41235.26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8464802.709999999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-1408462.63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7056340.0799999991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705634.01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121157.45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285" t="s">
        <v>126</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J11" s="255"/>
      <c r="K11" s="254"/>
      <c r="L11" s="254"/>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J12" s="253"/>
      <c r="K12" s="254"/>
      <c r="L12" s="254"/>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K13" s="254"/>
      <c r="L13" s="254"/>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224.3</v>
      </c>
      <c r="D16" s="143">
        <v>223.55</v>
      </c>
      <c r="E16" s="116">
        <f t="shared" si="1"/>
        <v>447.85</v>
      </c>
      <c r="F16" s="678">
        <f>'1461'!F16:G16</f>
        <v>1</v>
      </c>
      <c r="G16" s="678"/>
      <c r="H16" s="80">
        <f t="shared" si="2"/>
        <v>447.85</v>
      </c>
      <c r="I16" s="101">
        <f t="shared" si="3"/>
        <v>2484888.5499999998</v>
      </c>
      <c r="N16" s="616" t="s">
        <v>22</v>
      </c>
      <c r="O16" s="616"/>
      <c r="P16" s="657">
        <f t="shared" si="0"/>
        <v>0</v>
      </c>
      <c r="Q16" s="657"/>
      <c r="R16" s="662">
        <v>1</v>
      </c>
      <c r="S16" s="662"/>
      <c r="T16" s="95">
        <f t="shared" si="4"/>
        <v>0</v>
      </c>
      <c r="U16" s="472">
        <f t="shared" si="5"/>
        <v>0</v>
      </c>
    </row>
    <row r="17" spans="1:21" x14ac:dyDescent="0.25">
      <c r="A17" s="593" t="s">
        <v>23</v>
      </c>
      <c r="B17" s="593"/>
      <c r="C17" s="143">
        <v>34.5</v>
      </c>
      <c r="D17" s="143">
        <v>34.99</v>
      </c>
      <c r="E17" s="116">
        <f t="shared" si="1"/>
        <v>69.490000000000009</v>
      </c>
      <c r="F17" s="678">
        <f>'1461'!F17:G17</f>
        <v>1</v>
      </c>
      <c r="G17" s="678"/>
      <c r="H17" s="80">
        <f t="shared" si="2"/>
        <v>69.489999999999995</v>
      </c>
      <c r="I17" s="101">
        <f t="shared" si="3"/>
        <v>385564.15</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4.01</v>
      </c>
      <c r="D27" s="143">
        <v>2.91</v>
      </c>
      <c r="E27" s="116">
        <f t="shared" si="1"/>
        <v>6.92</v>
      </c>
      <c r="F27" s="678">
        <f>'1461'!F27:G27</f>
        <v>1.1919999999999999</v>
      </c>
      <c r="G27" s="678"/>
      <c r="H27" s="80">
        <f t="shared" si="2"/>
        <v>8.2485999999999997</v>
      </c>
      <c r="I27" s="101">
        <f t="shared" si="3"/>
        <v>45767.22</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262.81</v>
      </c>
      <c r="D30" s="94">
        <f>SUM(D14:D29)</f>
        <v>261.45000000000005</v>
      </c>
      <c r="E30" s="94">
        <f>SUM(E14:E29)</f>
        <v>524.26</v>
      </c>
      <c r="F30" s="597"/>
      <c r="G30" s="597"/>
      <c r="H30" s="99">
        <f>SUM(H14:H29)</f>
        <v>525.58860000000004</v>
      </c>
      <c r="I30" s="94">
        <f>SUM(I14:I29)</f>
        <v>2916219.92</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525.58860000000004</v>
      </c>
      <c r="F46" s="34"/>
      <c r="G46" s="106"/>
      <c r="H46" s="107" t="s">
        <v>98</v>
      </c>
      <c r="I46" s="94">
        <f>SUM(I44,I30)</f>
        <v>2916219.92</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2916219.92</v>
      </c>
      <c r="G51" s="109" t="s">
        <v>6</v>
      </c>
      <c r="H51" s="400">
        <v>5.5899999999999998E-2</v>
      </c>
      <c r="I51" s="101">
        <f>ROUND(F51*H51,2)</f>
        <v>163016.69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2916219.92</v>
      </c>
      <c r="G52" s="109" t="s">
        <v>6</v>
      </c>
      <c r="H52" s="400">
        <v>1.0699999999999999E-2</v>
      </c>
      <c r="I52" s="101">
        <f>ROUND(F52*H52,2)</f>
        <v>31203.55</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194220.24</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34</v>
      </c>
      <c r="D60" s="143">
        <v>34.49</v>
      </c>
      <c r="E60" s="116">
        <f t="shared" si="10"/>
        <v>68.490000000000009</v>
      </c>
      <c r="F60" s="443" t="s">
        <v>13</v>
      </c>
      <c r="G60" s="442">
        <v>251</v>
      </c>
      <c r="H60" s="456">
        <f>'1461'!H60</f>
        <v>1173</v>
      </c>
      <c r="I60" s="101">
        <f t="shared" si="11"/>
        <v>80338.77</v>
      </c>
      <c r="N60" s="634"/>
      <c r="O60" s="634"/>
      <c r="P60" s="637"/>
      <c r="Q60" s="637"/>
      <c r="R60" s="40" t="s">
        <v>13</v>
      </c>
      <c r="S60" s="448">
        <v>251</v>
      </c>
      <c r="T60" s="459">
        <f t="shared" si="12"/>
        <v>1173</v>
      </c>
      <c r="U60" s="473">
        <f t="shared" si="13"/>
        <v>0</v>
      </c>
      <c r="V60" s="423"/>
    </row>
    <row r="61" spans="1:22" x14ac:dyDescent="0.25">
      <c r="A61" s="604"/>
      <c r="B61" s="604"/>
      <c r="C61" s="143">
        <v>0.5</v>
      </c>
      <c r="D61" s="143">
        <v>0.5</v>
      </c>
      <c r="E61" s="116">
        <f t="shared" si="10"/>
        <v>1</v>
      </c>
      <c r="F61" s="443" t="s">
        <v>13</v>
      </c>
      <c r="G61" s="442">
        <v>252</v>
      </c>
      <c r="H61" s="456">
        <f>'1461'!H61</f>
        <v>3506</v>
      </c>
      <c r="I61" s="101">
        <f t="shared" si="11"/>
        <v>3506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34.5</v>
      </c>
      <c r="D66" s="97">
        <f>SUM(D57:D65)</f>
        <v>34.99</v>
      </c>
      <c r="E66" s="97">
        <f>SUM(E57:E65)</f>
        <v>69.490000000000009</v>
      </c>
      <c r="F66" s="605" t="s">
        <v>446</v>
      </c>
      <c r="G66" s="605"/>
      <c r="H66" s="605"/>
      <c r="I66" s="97">
        <f>SUM(I57:I65)</f>
        <v>83844.77</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524.26</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2.4940000000000001E-3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525.58860000000004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2.238E-3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524.26</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2.794E-3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524.26</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2.4979999999999998E-3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524.26</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2.7989999999999998E-3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2.4979999999999998E-3</v>
      </c>
      <c r="I85" s="101">
        <f>ROUND(F85*H85,2)</f>
        <v>115316.93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2.4940000000000001E-3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2.7989999999999998E-3</v>
      </c>
      <c r="I90" s="101">
        <f>ROUND(F90*H90,2)</f>
        <v>53298.63</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2.794E-3</v>
      </c>
      <c r="I92" s="101">
        <f t="shared" ref="I92:I96" si="14">ROUND(F92*H92,2)</f>
        <v>31966.58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2.238E-3</v>
      </c>
      <c r="I94" s="101">
        <f t="shared" si="14"/>
        <v>572383.75</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2.238E-3</v>
      </c>
      <c r="I96" s="101">
        <f t="shared" si="14"/>
        <v>-3548.48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2.4940000000000001E-3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525.58860000000004</v>
      </c>
      <c r="D105" s="611"/>
      <c r="E105" s="46">
        <f>H8</f>
        <v>1.0407999999999999</v>
      </c>
      <c r="F105" s="302">
        <f>'1461'!F105</f>
        <v>907.92</v>
      </c>
      <c r="G105" s="39" t="s">
        <v>12</v>
      </c>
      <c r="H105" s="101">
        <f>ROUND(C105*E105*F105,2)</f>
        <v>496661.85</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525.58860000000004</v>
      </c>
      <c r="D107" s="601"/>
      <c r="E107" s="123"/>
      <c r="F107" s="123"/>
      <c r="G107" s="123"/>
      <c r="H107" s="124" t="s">
        <v>100</v>
      </c>
      <c r="I107" s="101">
        <f>IF(A1=75,0,H106+H105+H104)</f>
        <v>496661.85</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345</v>
      </c>
      <c r="D113" s="143">
        <v>343</v>
      </c>
      <c r="E113" s="116">
        <f>(C113+D113)/2</f>
        <v>344</v>
      </c>
      <c r="F113" s="126" t="s">
        <v>30</v>
      </c>
      <c r="G113" s="303">
        <f>'1461'!G113</f>
        <v>567</v>
      </c>
      <c r="I113" s="101">
        <f>ROUND(G113*E113,2)</f>
        <v>195048</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4461191.95</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4266971.71</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4266971.71</v>
      </c>
      <c r="I135" s="94">
        <f>ROUND(IF(E30=0,0,IF(E30&gt;250,-(((250/E30)*H135)*IF(G135="H",0.02,0.05)),IF(G135="H",-0.02*H135,-0.05*H135))),2)</f>
        <v>-101737.97</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4359453.9800000004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Payments'!Q90</f>
        <v>-725577.13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3633876.8500000006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241</v>
      </c>
      <c r="B145" s="69"/>
      <c r="C145" s="69"/>
      <c r="D145" s="69"/>
      <c r="E145" s="69"/>
      <c r="F145" s="69"/>
      <c r="G145" s="69"/>
      <c r="H145" s="65"/>
      <c r="I145" s="155">
        <f>ROUND(I141/I143,2)</f>
        <v>363387.69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111610.62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363</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112.94</v>
      </c>
      <c r="D16" s="143">
        <v>111.44</v>
      </c>
      <c r="E16" s="116">
        <f t="shared" si="1"/>
        <v>224.38</v>
      </c>
      <c r="F16" s="678">
        <f>'1461'!F16:G16</f>
        <v>1</v>
      </c>
      <c r="G16" s="678"/>
      <c r="H16" s="80">
        <f t="shared" si="2"/>
        <v>224.38</v>
      </c>
      <c r="I16" s="101">
        <f t="shared" si="3"/>
        <v>1244968.8400000001</v>
      </c>
      <c r="N16" s="616" t="s">
        <v>22</v>
      </c>
      <c r="O16" s="616"/>
      <c r="P16" s="657">
        <f t="shared" si="0"/>
        <v>0</v>
      </c>
      <c r="Q16" s="657"/>
      <c r="R16" s="662">
        <v>1</v>
      </c>
      <c r="S16" s="662"/>
      <c r="T16" s="95">
        <f t="shared" si="4"/>
        <v>0</v>
      </c>
      <c r="U16" s="472">
        <f t="shared" si="5"/>
        <v>0</v>
      </c>
    </row>
    <row r="17" spans="1:21" x14ac:dyDescent="0.25">
      <c r="A17" s="593" t="s">
        <v>23</v>
      </c>
      <c r="B17" s="593"/>
      <c r="C17" s="143">
        <v>23</v>
      </c>
      <c r="D17" s="143">
        <v>24.48</v>
      </c>
      <c r="E17" s="116">
        <f t="shared" si="1"/>
        <v>47.480000000000004</v>
      </c>
      <c r="F17" s="678">
        <f>'1461'!F17:G17</f>
        <v>1</v>
      </c>
      <c r="G17" s="678"/>
      <c r="H17" s="80">
        <f t="shared" si="2"/>
        <v>47.48</v>
      </c>
      <c r="I17" s="101">
        <f t="shared" si="3"/>
        <v>263442.02</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60.76</v>
      </c>
      <c r="D18" s="143">
        <v>57.71</v>
      </c>
      <c r="E18" s="116">
        <f t="shared" si="1"/>
        <v>118.47</v>
      </c>
      <c r="F18" s="678">
        <f>'1461'!F18:G18</f>
        <v>0.97799999999999998</v>
      </c>
      <c r="G18" s="678"/>
      <c r="H18" s="80">
        <f t="shared" si="2"/>
        <v>115.86369999999999</v>
      </c>
      <c r="I18" s="101">
        <f t="shared" si="3"/>
        <v>642867.88</v>
      </c>
      <c r="N18" s="616" t="s">
        <v>24</v>
      </c>
      <c r="O18" s="616"/>
      <c r="P18" s="657">
        <f t="shared" si="0"/>
        <v>0</v>
      </c>
      <c r="Q18" s="657"/>
      <c r="R18" s="662">
        <v>1</v>
      </c>
      <c r="S18" s="662"/>
      <c r="T18" s="95">
        <f t="shared" si="4"/>
        <v>0</v>
      </c>
      <c r="U18" s="472">
        <f t="shared" si="5"/>
        <v>0</v>
      </c>
    </row>
    <row r="19" spans="1:21" x14ac:dyDescent="0.25">
      <c r="A19" s="593" t="s">
        <v>25</v>
      </c>
      <c r="B19" s="593"/>
      <c r="C19" s="143">
        <v>11.28</v>
      </c>
      <c r="D19" s="143">
        <v>10.9</v>
      </c>
      <c r="E19" s="116">
        <f t="shared" si="1"/>
        <v>22.18</v>
      </c>
      <c r="F19" s="678">
        <f>'1461'!F19:G19</f>
        <v>0.97799999999999998</v>
      </c>
      <c r="G19" s="678"/>
      <c r="H19" s="80">
        <f t="shared" si="2"/>
        <v>21.692</v>
      </c>
      <c r="I19" s="101">
        <f t="shared" si="3"/>
        <v>120357.71</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19.559999999999999</v>
      </c>
      <c r="D27" s="143">
        <v>20.57</v>
      </c>
      <c r="E27" s="116">
        <f t="shared" si="1"/>
        <v>40.129999999999995</v>
      </c>
      <c r="F27" s="678">
        <f>'1461'!F27:G27</f>
        <v>1.1919999999999999</v>
      </c>
      <c r="G27" s="678"/>
      <c r="H27" s="80">
        <f t="shared" si="2"/>
        <v>47.835000000000001</v>
      </c>
      <c r="I27" s="101">
        <f t="shared" si="3"/>
        <v>265411.73</v>
      </c>
      <c r="N27" s="616" t="s">
        <v>86</v>
      </c>
      <c r="O27" s="616"/>
      <c r="P27" s="657">
        <f t="shared" si="0"/>
        <v>0</v>
      </c>
      <c r="Q27" s="657"/>
      <c r="R27" s="662">
        <v>1</v>
      </c>
      <c r="S27" s="662"/>
      <c r="T27" s="95">
        <f t="shared" si="4"/>
        <v>0</v>
      </c>
      <c r="U27" s="472">
        <f t="shared" si="5"/>
        <v>0</v>
      </c>
    </row>
    <row r="28" spans="1:21" x14ac:dyDescent="0.25">
      <c r="A28" s="593" t="s">
        <v>87</v>
      </c>
      <c r="B28" s="593"/>
      <c r="C28" s="143">
        <v>4.5</v>
      </c>
      <c r="D28" s="143">
        <v>4.6100000000000003</v>
      </c>
      <c r="E28" s="116">
        <f t="shared" si="1"/>
        <v>9.11</v>
      </c>
      <c r="F28" s="678">
        <f>'1461'!F28:G28</f>
        <v>1.1919999999999999</v>
      </c>
      <c r="G28" s="678"/>
      <c r="H28" s="80">
        <f t="shared" si="2"/>
        <v>10.8591</v>
      </c>
      <c r="I28" s="101">
        <f t="shared" si="3"/>
        <v>60251.54</v>
      </c>
      <c r="N28" s="616" t="s">
        <v>87</v>
      </c>
      <c r="O28" s="616"/>
      <c r="P28" s="657">
        <f t="shared" si="0"/>
        <v>0</v>
      </c>
      <c r="Q28" s="657"/>
      <c r="R28" s="662">
        <v>1</v>
      </c>
      <c r="S28" s="662"/>
      <c r="T28" s="95">
        <f t="shared" si="4"/>
        <v>0</v>
      </c>
      <c r="U28" s="472">
        <f t="shared" si="5"/>
        <v>0</v>
      </c>
    </row>
    <row r="29" spans="1:21" x14ac:dyDescent="0.25">
      <c r="A29" s="593" t="s">
        <v>88</v>
      </c>
      <c r="B29" s="593"/>
      <c r="C29" s="110">
        <v>0.99</v>
      </c>
      <c r="D29" s="110">
        <v>0.93</v>
      </c>
      <c r="E29" s="154">
        <f t="shared" si="1"/>
        <v>1.92</v>
      </c>
      <c r="F29" s="678">
        <f>'1461'!F29:G29</f>
        <v>1.079</v>
      </c>
      <c r="G29" s="678"/>
      <c r="H29" s="93">
        <f t="shared" si="2"/>
        <v>2.0716999999999999</v>
      </c>
      <c r="I29" s="94">
        <f t="shared" si="3"/>
        <v>11494.79</v>
      </c>
      <c r="N29" s="631" t="s">
        <v>88</v>
      </c>
      <c r="O29" s="631"/>
      <c r="P29" s="657">
        <f t="shared" si="0"/>
        <v>0</v>
      </c>
      <c r="Q29" s="657"/>
      <c r="R29" s="658">
        <v>1</v>
      </c>
      <c r="S29" s="658"/>
      <c r="T29" s="95">
        <f t="shared" si="4"/>
        <v>0</v>
      </c>
      <c r="U29" s="472">
        <f t="shared" si="5"/>
        <v>0</v>
      </c>
    </row>
    <row r="30" spans="1:21" x14ac:dyDescent="0.25">
      <c r="A30" s="605" t="s">
        <v>5</v>
      </c>
      <c r="B30" s="605"/>
      <c r="C30" s="94">
        <f>SUM(C14:C29)</f>
        <v>233.03</v>
      </c>
      <c r="D30" s="94">
        <f>SUM(D14:D29)</f>
        <v>230.64000000000001</v>
      </c>
      <c r="E30" s="94">
        <f>SUM(E14:E29)</f>
        <v>463.67000000000007</v>
      </c>
      <c r="F30" s="597"/>
      <c r="G30" s="597"/>
      <c r="H30" s="99">
        <f>SUM(H14:H29)</f>
        <v>470.18150000000003</v>
      </c>
      <c r="I30" s="94">
        <f>SUM(I14:I29)</f>
        <v>2608794.5100000002</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470.18150000000003</v>
      </c>
      <c r="F46" s="34"/>
      <c r="G46" s="106"/>
      <c r="H46" s="107" t="s">
        <v>98</v>
      </c>
      <c r="I46" s="94">
        <f>SUM(I44,I30)</f>
        <v>2608794.5100000002</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2608794.5100000002</v>
      </c>
      <c r="G51" s="109" t="s">
        <v>6</v>
      </c>
      <c r="H51" s="400">
        <v>5.5899999999999998E-2</v>
      </c>
      <c r="I51" s="101">
        <f>ROUND(F51*H51,2)</f>
        <v>145831.60999999999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2608794.5100000002</v>
      </c>
      <c r="G52" s="109" t="s">
        <v>6</v>
      </c>
      <c r="H52" s="400">
        <v>1.0699999999999999E-2</v>
      </c>
      <c r="I52" s="101">
        <f>ROUND(F52*H52,2)</f>
        <v>27914.1</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173745.71</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21.5</v>
      </c>
      <c r="D60" s="143">
        <v>23.07</v>
      </c>
      <c r="E60" s="116">
        <f t="shared" si="10"/>
        <v>44.57</v>
      </c>
      <c r="F60" s="443" t="s">
        <v>13</v>
      </c>
      <c r="G60" s="442">
        <v>251</v>
      </c>
      <c r="H60" s="456">
        <f>'1461'!H60</f>
        <v>1173</v>
      </c>
      <c r="I60" s="101">
        <f t="shared" si="11"/>
        <v>52280.61</v>
      </c>
      <c r="N60" s="634"/>
      <c r="O60" s="634"/>
      <c r="P60" s="637"/>
      <c r="Q60" s="637"/>
      <c r="R60" s="40" t="s">
        <v>13</v>
      </c>
      <c r="S60" s="448">
        <v>251</v>
      </c>
      <c r="T60" s="459">
        <f t="shared" si="12"/>
        <v>1173</v>
      </c>
      <c r="U60" s="473">
        <f t="shared" si="13"/>
        <v>0</v>
      </c>
      <c r="V60" s="423"/>
    </row>
    <row r="61" spans="1:22" x14ac:dyDescent="0.25">
      <c r="A61" s="604"/>
      <c r="B61" s="604"/>
      <c r="C61" s="143">
        <v>1.5</v>
      </c>
      <c r="D61" s="143">
        <v>1.41</v>
      </c>
      <c r="E61" s="116">
        <f t="shared" si="10"/>
        <v>2.91</v>
      </c>
      <c r="F61" s="443" t="s">
        <v>13</v>
      </c>
      <c r="G61" s="442">
        <v>252</v>
      </c>
      <c r="H61" s="456">
        <f>'1461'!H61</f>
        <v>3506</v>
      </c>
      <c r="I61" s="101">
        <f t="shared" si="11"/>
        <v>10202.459999999999</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10.27</v>
      </c>
      <c r="D63" s="143">
        <v>9.98</v>
      </c>
      <c r="E63" s="116">
        <f t="shared" si="10"/>
        <v>20.25</v>
      </c>
      <c r="F63" s="443" t="s">
        <v>14</v>
      </c>
      <c r="G63" s="442">
        <v>251</v>
      </c>
      <c r="H63" s="456">
        <f>'1461'!H63</f>
        <v>835</v>
      </c>
      <c r="I63" s="101">
        <f t="shared" si="11"/>
        <v>16908.75</v>
      </c>
      <c r="N63" s="634"/>
      <c r="O63" s="634"/>
      <c r="P63" s="637"/>
      <c r="Q63" s="637"/>
      <c r="R63" s="40" t="s">
        <v>14</v>
      </c>
      <c r="S63" s="448">
        <v>251</v>
      </c>
      <c r="T63" s="459">
        <f t="shared" si="12"/>
        <v>835</v>
      </c>
      <c r="U63" s="473">
        <f t="shared" si="13"/>
        <v>0</v>
      </c>
      <c r="V63" s="423"/>
    </row>
    <row r="64" spans="1:22" x14ac:dyDescent="0.25">
      <c r="A64" s="604"/>
      <c r="B64" s="604"/>
      <c r="C64" s="143">
        <v>1.01</v>
      </c>
      <c r="D64" s="143">
        <v>0.92</v>
      </c>
      <c r="E64" s="116">
        <f t="shared" si="10"/>
        <v>1.9300000000000002</v>
      </c>
      <c r="F64" s="443" t="s">
        <v>14</v>
      </c>
      <c r="G64" s="442">
        <v>252</v>
      </c>
      <c r="H64" s="456">
        <f>'1461'!H64</f>
        <v>3168</v>
      </c>
      <c r="I64" s="101">
        <f t="shared" si="11"/>
        <v>6114.24</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34.279999999999994</v>
      </c>
      <c r="D66" s="97">
        <f>SUM(D57:D65)</f>
        <v>35.380000000000003</v>
      </c>
      <c r="E66" s="97">
        <f>SUM(E57:E65)</f>
        <v>69.660000000000011</v>
      </c>
      <c r="F66" s="605" t="s">
        <v>446</v>
      </c>
      <c r="G66" s="605"/>
      <c r="H66" s="605"/>
      <c r="I66" s="97">
        <f>SUM(I57:I65)</f>
        <v>85506.060000000012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463.67000000000007</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2.2060000000000001E-3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470.18150000000003</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2.0019999999999999E-3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463.67000000000007</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2.4710000000000001E-3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463.67000000000007</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2.209E-3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463.67000000000007</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2.4750000000000002E-3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2.209E-3</v>
      </c>
      <c r="I85" s="101">
        <f>ROUND(F85*H85,2)</f>
        <v>101975.62</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2.2060000000000001E-3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2.4750000000000002E-3</v>
      </c>
      <c r="I90" s="101">
        <f>ROUND(F90*H90,2)</f>
        <v>47129.01</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2.4710000000000001E-3</v>
      </c>
      <c r="I92" s="101">
        <f t="shared" ref="I92:I96" si="14">ROUND(F92*H92,2)</f>
        <v>28271.08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2.0019999999999999E-3</v>
      </c>
      <c r="I94" s="101">
        <f t="shared" si="14"/>
        <v>512025.15</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2.0019999999999999E-3</v>
      </c>
      <c r="I96" s="101">
        <f t="shared" si="14"/>
        <v>-3174.29</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2.2060000000000001E-3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319.69499999999999</v>
      </c>
      <c r="D105" s="611"/>
      <c r="E105" s="46">
        <f>H8</f>
        <v>1.0407999999999999</v>
      </c>
      <c r="F105" s="302">
        <f>'1461'!F105</f>
        <v>907.92</v>
      </c>
      <c r="G105" s="39" t="s">
        <v>12</v>
      </c>
      <c r="H105" s="101">
        <f>ROUND(C105*E105*F105,2)</f>
        <v>302099.99</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150.48650000000001</v>
      </c>
      <c r="D106" s="611"/>
      <c r="E106" s="46">
        <f>H8</f>
        <v>1.0407999999999999</v>
      </c>
      <c r="F106" s="302">
        <f>'1461'!F106</f>
        <v>910.12</v>
      </c>
      <c r="G106" s="39" t="s">
        <v>12</v>
      </c>
      <c r="H106" s="94">
        <f>ROUND(C106*E106*F106,2)</f>
        <v>142548.76999999999</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470.18150000000003</v>
      </c>
      <c r="D107" s="601"/>
      <c r="E107" s="123"/>
      <c r="F107" s="123"/>
      <c r="G107" s="123"/>
      <c r="H107" s="124" t="s">
        <v>100</v>
      </c>
      <c r="I107" s="101">
        <f>IF(A1=75,0,H106+H105+H104)</f>
        <v>444648.76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258</v>
      </c>
      <c r="D113" s="143">
        <v>243</v>
      </c>
      <c r="E113" s="116">
        <f>(C113+D113)/2</f>
        <v>250.5</v>
      </c>
      <c r="F113" s="126" t="s">
        <v>30</v>
      </c>
      <c r="G113" s="303">
        <f>'1461'!G113</f>
        <v>567</v>
      </c>
      <c r="I113" s="101">
        <f>ROUND(G113*E113,2)</f>
        <v>142033.5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3967209.4000000004</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3793463.6900000004</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3793463.6900000004</v>
      </c>
      <c r="I135" s="94">
        <f>ROUND(IF(E30=0,0,IF(E30&gt;250,-(((250/E30)*H135)*IF(G135="H",0.02,0.05)),IF(G135="H",-0.02*H135,-0.05*H135))),2)</f>
        <v>-102267.34</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3864942.0600000005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-643218.52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3221723.5400000005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322172.34999999998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87405.84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v>637300</v>
      </c>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127</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63.15</v>
      </c>
      <c r="D14" s="141">
        <v>60.9</v>
      </c>
      <c r="E14" s="187">
        <f>IF(D$30=0,C14*2,C14+D14)</f>
        <v>124.05</v>
      </c>
      <c r="F14" s="682">
        <f>'1461'!F14:G14</f>
        <v>1.1180000000000001</v>
      </c>
      <c r="G14" s="682"/>
      <c r="H14" s="145">
        <f>ROUND(E14*F14,4)</f>
        <v>138.68790000000001</v>
      </c>
      <c r="I14" s="111">
        <f>ROUND(ROUND(ROUND(H14*$C$8,4)*($H$8),2)*(MAX($H$9,1)),2)</f>
        <v>769507.59</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15</v>
      </c>
      <c r="D15" s="143">
        <v>14.48</v>
      </c>
      <c r="E15" s="116">
        <f t="shared" ref="E15:E29" si="1">IF(D$30=0,C15*2,C15+D15)</f>
        <v>29.48</v>
      </c>
      <c r="F15" s="678">
        <f>'1461'!F15:G15</f>
        <v>1.1180000000000001</v>
      </c>
      <c r="G15" s="678"/>
      <c r="H15" s="80">
        <f t="shared" ref="H15:H29" si="2">ROUND(E15*F15,4)</f>
        <v>32.958599999999997</v>
      </c>
      <c r="I15" s="101">
        <f t="shared" ref="I15:I29" si="3">ROUND(ROUND(ROUND(H15*$C$8,4)*($H$8),2)*(MAX($H$9,1)),2)</f>
        <v>182870.26</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26.93</v>
      </c>
      <c r="D16" s="143">
        <v>26.04</v>
      </c>
      <c r="E16" s="116">
        <f t="shared" si="1"/>
        <v>52.97</v>
      </c>
      <c r="F16" s="678">
        <f>'1461'!F16:G16</f>
        <v>1</v>
      </c>
      <c r="G16" s="678"/>
      <c r="H16" s="80">
        <f t="shared" si="2"/>
        <v>52.97</v>
      </c>
      <c r="I16" s="101">
        <f t="shared" si="3"/>
        <v>293903.2</v>
      </c>
      <c r="N16" s="616" t="s">
        <v>22</v>
      </c>
      <c r="O16" s="616"/>
      <c r="P16" s="657">
        <f t="shared" si="0"/>
        <v>0</v>
      </c>
      <c r="Q16" s="657"/>
      <c r="R16" s="662">
        <v>1</v>
      </c>
      <c r="S16" s="662"/>
      <c r="T16" s="95">
        <f t="shared" si="4"/>
        <v>0</v>
      </c>
      <c r="U16" s="472">
        <f t="shared" si="5"/>
        <v>0</v>
      </c>
    </row>
    <row r="17" spans="1:21" x14ac:dyDescent="0.25">
      <c r="A17" s="593" t="s">
        <v>23</v>
      </c>
      <c r="B17" s="593"/>
      <c r="C17" s="143">
        <v>9</v>
      </c>
      <c r="D17" s="143">
        <v>8.5</v>
      </c>
      <c r="E17" s="116">
        <f t="shared" si="1"/>
        <v>17.5</v>
      </c>
      <c r="F17" s="678">
        <f>'1461'!F17:G17</f>
        <v>1</v>
      </c>
      <c r="G17" s="678"/>
      <c r="H17" s="80">
        <f t="shared" si="2"/>
        <v>17.5</v>
      </c>
      <c r="I17" s="101">
        <f t="shared" si="3"/>
        <v>97098.47</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10.35</v>
      </c>
      <c r="D26" s="143">
        <v>9.6</v>
      </c>
      <c r="E26" s="116">
        <f t="shared" si="1"/>
        <v>19.95</v>
      </c>
      <c r="F26" s="678">
        <f>'1461'!F26:G26</f>
        <v>1.1919999999999999</v>
      </c>
      <c r="G26" s="678"/>
      <c r="H26" s="80">
        <f t="shared" si="2"/>
        <v>23.7804</v>
      </c>
      <c r="I26" s="101">
        <f t="shared" si="3"/>
        <v>131945.17000000001</v>
      </c>
      <c r="N26" s="616" t="s">
        <v>85</v>
      </c>
      <c r="O26" s="616"/>
      <c r="P26" s="657">
        <f t="shared" si="0"/>
        <v>0</v>
      </c>
      <c r="Q26" s="657"/>
      <c r="R26" s="662">
        <v>1</v>
      </c>
      <c r="S26" s="662"/>
      <c r="T26" s="95">
        <f t="shared" si="4"/>
        <v>0</v>
      </c>
      <c r="U26" s="472">
        <f t="shared" si="5"/>
        <v>0</v>
      </c>
    </row>
    <row r="27" spans="1:21" x14ac:dyDescent="0.25">
      <c r="A27" s="593" t="s">
        <v>86</v>
      </c>
      <c r="B27" s="593"/>
      <c r="C27" s="143">
        <v>3.07</v>
      </c>
      <c r="D27" s="143">
        <v>3.46</v>
      </c>
      <c r="E27" s="116">
        <f t="shared" si="1"/>
        <v>6.5299999999999994</v>
      </c>
      <c r="F27" s="678">
        <f>'1461'!F27:G27</f>
        <v>1.1919999999999999</v>
      </c>
      <c r="G27" s="678"/>
      <c r="H27" s="80">
        <f t="shared" si="2"/>
        <v>7.7838000000000003</v>
      </c>
      <c r="I27" s="101">
        <f t="shared" si="3"/>
        <v>43188.29</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127.5</v>
      </c>
      <c r="D30" s="94">
        <f>SUM(D14:D29)</f>
        <v>122.97999999999998</v>
      </c>
      <c r="E30" s="94">
        <f>SUM(E14:E29)</f>
        <v>250.48</v>
      </c>
      <c r="F30" s="597"/>
      <c r="G30" s="597"/>
      <c r="H30" s="99">
        <f>SUM(H14:H29)</f>
        <v>273.6807</v>
      </c>
      <c r="I30" s="94">
        <f>SUM(I14:I29)</f>
        <v>1518512.98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273.6807</v>
      </c>
      <c r="F46" s="34"/>
      <c r="G46" s="106"/>
      <c r="H46" s="107" t="s">
        <v>98</v>
      </c>
      <c r="I46" s="94">
        <f>SUM(I44,I30)</f>
        <v>1518512.98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 t="s">
        <v>514</v>
      </c>
      <c r="C51" s="26"/>
      <c r="D51" s="26"/>
      <c r="E51" s="43" t="s">
        <v>399</v>
      </c>
      <c r="F51" s="399">
        <v>1518512.98</v>
      </c>
      <c r="G51" s="109" t="s">
        <v>6</v>
      </c>
      <c r="H51" s="400">
        <v>5.5899999999999998E-2</v>
      </c>
      <c r="I51" s="101">
        <f>ROUND(F51*H51,2)</f>
        <v>84884.88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1518512.98</v>
      </c>
      <c r="G52" s="109" t="s">
        <v>6</v>
      </c>
      <c r="H52" s="400">
        <v>1.0699999999999999E-2</v>
      </c>
      <c r="I52" s="101">
        <f>ROUND(F52*H52,2)</f>
        <v>16248.09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101132.97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11.5</v>
      </c>
      <c r="D57" s="143">
        <v>10.53</v>
      </c>
      <c r="E57" s="116">
        <f t="shared" ref="E57:E65" si="10">IF(D$66=0,C57*2,C57+D57)</f>
        <v>22.03</v>
      </c>
      <c r="F57" s="442" t="s">
        <v>437</v>
      </c>
      <c r="G57" s="442">
        <v>251</v>
      </c>
      <c r="H57" s="456">
        <f>'1461'!H57</f>
        <v>1047</v>
      </c>
      <c r="I57" s="101">
        <f>ROUND(E57*H57,2)</f>
        <v>23065.41</v>
      </c>
      <c r="N57" s="633" t="s">
        <v>445</v>
      </c>
      <c r="O57" s="633"/>
      <c r="P57" s="636"/>
      <c r="Q57" s="636"/>
      <c r="R57" s="448" t="s">
        <v>437</v>
      </c>
      <c r="S57" s="448">
        <v>251</v>
      </c>
      <c r="T57" s="459">
        <f>H57</f>
        <v>1047</v>
      </c>
      <c r="U57" s="473">
        <f>ROUND(P57*T57,2)</f>
        <v>0</v>
      </c>
      <c r="V57" s="423"/>
    </row>
    <row r="58" spans="1:22" x14ac:dyDescent="0.25">
      <c r="A58" s="604"/>
      <c r="B58" s="604"/>
      <c r="C58" s="143">
        <v>3.5</v>
      </c>
      <c r="D58" s="143">
        <v>3.95</v>
      </c>
      <c r="E58" s="116">
        <f t="shared" si="10"/>
        <v>7.45</v>
      </c>
      <c r="F58" s="442" t="s">
        <v>437</v>
      </c>
      <c r="G58" s="442">
        <v>252</v>
      </c>
      <c r="H58" s="456">
        <f>'1461'!H58</f>
        <v>3380</v>
      </c>
      <c r="I58" s="101">
        <f t="shared" ref="I58:I65" si="11">ROUND(E58*H58,2)</f>
        <v>25181</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7.5</v>
      </c>
      <c r="D60" s="143">
        <v>7</v>
      </c>
      <c r="E60" s="116">
        <f t="shared" si="10"/>
        <v>14.5</v>
      </c>
      <c r="F60" s="443" t="s">
        <v>13</v>
      </c>
      <c r="G60" s="442">
        <v>251</v>
      </c>
      <c r="H60" s="456">
        <f>'1461'!H60</f>
        <v>1173</v>
      </c>
      <c r="I60" s="101">
        <f t="shared" si="11"/>
        <v>17008.5</v>
      </c>
      <c r="N60" s="634"/>
      <c r="O60" s="634"/>
      <c r="P60" s="637"/>
      <c r="Q60" s="637"/>
      <c r="R60" s="40" t="s">
        <v>13</v>
      </c>
      <c r="S60" s="448">
        <v>251</v>
      </c>
      <c r="T60" s="459">
        <f t="shared" si="12"/>
        <v>1173</v>
      </c>
      <c r="U60" s="473">
        <f t="shared" si="13"/>
        <v>0</v>
      </c>
      <c r="V60" s="423"/>
    </row>
    <row r="61" spans="1:22" x14ac:dyDescent="0.25">
      <c r="A61" s="604"/>
      <c r="B61" s="604"/>
      <c r="C61" s="143">
        <v>1.5</v>
      </c>
      <c r="D61" s="143">
        <v>1.5</v>
      </c>
      <c r="E61" s="116">
        <f t="shared" si="10"/>
        <v>3</v>
      </c>
      <c r="F61" s="443" t="s">
        <v>13</v>
      </c>
      <c r="G61" s="442">
        <v>252</v>
      </c>
      <c r="H61" s="456">
        <f>'1461'!H61</f>
        <v>3506</v>
      </c>
      <c r="I61" s="101">
        <f t="shared" si="11"/>
        <v>10518</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24</v>
      </c>
      <c r="D66" s="97">
        <f>SUM(D57:D65)</f>
        <v>22.98</v>
      </c>
      <c r="E66" s="97">
        <f>SUM(E57:E65)</f>
        <v>46.980000000000004</v>
      </c>
      <c r="F66" s="605" t="s">
        <v>446</v>
      </c>
      <c r="G66" s="605"/>
      <c r="H66" s="605"/>
      <c r="I66" s="97">
        <f>SUM(I57:I65)</f>
        <v>75772.91</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250.48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1.191E-3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273.6807</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1.165E-3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250.48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1.335E-3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250.48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1.193E-3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250.48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1.3370000000000001E-3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1.193E-3</v>
      </c>
      <c r="I85" s="101">
        <f>ROUND(F85*H85,2)</f>
        <v>55073.3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1.191E-3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1.3370000000000001E-3</v>
      </c>
      <c r="I90" s="101">
        <f>ROUND(F90*H90,2)</f>
        <v>25459.19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1.335E-3</v>
      </c>
      <c r="I92" s="101">
        <f t="shared" ref="I92:I96" si="14">ROUND(F92*H92,2)</f>
        <v>15273.94</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1.165E-3</v>
      </c>
      <c r="I94" s="101">
        <f t="shared" si="14"/>
        <v>297956.69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1.165E-3</v>
      </c>
      <c r="I96" s="101">
        <f t="shared" si="14"/>
        <v>-1847.18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1.191E-3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195.42689999999999</v>
      </c>
      <c r="D104" s="611"/>
      <c r="E104" s="46">
        <f>H8</f>
        <v>1.0407999999999999</v>
      </c>
      <c r="F104" s="302">
        <f>'1461'!F104</f>
        <v>950.92</v>
      </c>
      <c r="G104" s="39" t="s">
        <v>12</v>
      </c>
      <c r="H104" s="101">
        <f>ROUND(C104*E104*F104,2)</f>
        <v>193417.43</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78.253799999999998</v>
      </c>
      <c r="D105" s="611"/>
      <c r="E105" s="46">
        <f>H8</f>
        <v>1.0407999999999999</v>
      </c>
      <c r="F105" s="302">
        <f>'1461'!F105</f>
        <v>907.92</v>
      </c>
      <c r="G105" s="39" t="s">
        <v>12</v>
      </c>
      <c r="H105" s="101">
        <f>ROUND(C105*E105*F105,2)</f>
        <v>73946.960000000006</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273.6807</v>
      </c>
      <c r="D107" s="601"/>
      <c r="E107" s="123"/>
      <c r="F107" s="123"/>
      <c r="G107" s="123"/>
      <c r="H107" s="124" t="s">
        <v>100</v>
      </c>
      <c r="I107" s="101">
        <f>IF(A1=75,0,H106+H105+H104)</f>
        <v>267364.39</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16">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2254133.2199999997</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2153000.2499999995</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7" t="s">
        <v>240</v>
      </c>
      <c r="H135" s="139">
        <f>IF(H133=1,I133,I130)</f>
        <v>2153000.2499999995</v>
      </c>
      <c r="I135" s="94">
        <f>ROUND(IF(E30=0,0,IF(E30&gt;250,-(((250/E30)*H135)*IF(G135="H",0.02,0.05)),IF(G135="H",-0.02*H135,-0.05*H135))),2)</f>
        <v>-42977.49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2211155.7299999995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-367892.44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1843263.2899999996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184326.33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82.51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workbookViewId="0">
      <selection activeCell="H54" sqref="H54"/>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581" t="s">
        <v>15</v>
      </c>
      <c r="C1" s="582"/>
      <c r="D1" s="582"/>
      <c r="E1" s="582"/>
      <c r="F1" s="582"/>
      <c r="G1" s="582"/>
      <c r="H1" s="582"/>
      <c r="I1" s="582"/>
    </row>
    <row r="2" spans="1:9" ht="21" x14ac:dyDescent="0.35">
      <c r="A2" s="1" t="s">
        <v>254</v>
      </c>
      <c r="B2" s="2"/>
      <c r="C2" s="2"/>
      <c r="D2" s="2"/>
      <c r="E2" s="2"/>
      <c r="F2" s="2"/>
      <c r="G2" s="2"/>
      <c r="H2" s="2"/>
      <c r="I2" s="2"/>
    </row>
    <row r="3" spans="1:9" x14ac:dyDescent="0.25">
      <c r="A3" s="81" t="str">
        <f>'1461'!A3</f>
        <v>Based on the FLDOE 2024-25 Second Calculation</v>
      </c>
    </row>
    <row r="4" spans="1:9" x14ac:dyDescent="0.25">
      <c r="A4" s="583" t="s">
        <v>0</v>
      </c>
      <c r="B4" s="583"/>
      <c r="C4" s="584" t="s">
        <v>9</v>
      </c>
      <c r="D4" s="584"/>
      <c r="E4" s="584"/>
      <c r="F4" s="543" t="s">
        <v>510</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585" t="str">
        <f>'1461'!A7:I7</f>
        <v>1A.   2023-24 FEFP State and Local Funding</v>
      </c>
      <c r="B7" s="585"/>
      <c r="C7" s="585"/>
      <c r="D7" s="585"/>
      <c r="E7" s="585"/>
      <c r="F7" s="585"/>
      <c r="G7" s="585"/>
      <c r="H7" s="585"/>
      <c r="I7" s="585"/>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391</v>
      </c>
      <c r="H9" s="222">
        <f>'1461'!H9</f>
        <v>1</v>
      </c>
      <c r="I9" s="75"/>
    </row>
    <row r="10" spans="1:9" x14ac:dyDescent="0.25">
      <c r="A10" s="7"/>
      <c r="B10" s="7"/>
      <c r="C10" s="8"/>
      <c r="D10" s="8"/>
      <c r="E10" s="8"/>
      <c r="F10" s="9"/>
      <c r="G10" s="9"/>
      <c r="H10" s="10"/>
      <c r="I10" s="366" t="str">
        <f>'1461'!I10</f>
        <v>2024-25</v>
      </c>
    </row>
    <row r="11" spans="1:9" x14ac:dyDescent="0.25">
      <c r="A11" s="7"/>
      <c r="B11" s="7"/>
      <c r="C11" s="88" t="str">
        <f>'1461'!C11</f>
        <v>Oct 2023</v>
      </c>
      <c r="D11" s="88" t="str">
        <f>'1461'!D11</f>
        <v>Feb 2024</v>
      </c>
      <c r="E11" s="89" t="s">
        <v>8</v>
      </c>
      <c r="F11" s="586" t="s">
        <v>1</v>
      </c>
      <c r="G11" s="586"/>
      <c r="H11" s="10" t="s">
        <v>60</v>
      </c>
      <c r="I11" s="11" t="s">
        <v>27</v>
      </c>
    </row>
    <row r="12" spans="1:9" x14ac:dyDescent="0.25">
      <c r="A12" s="587" t="s">
        <v>1</v>
      </c>
      <c r="B12" s="587"/>
      <c r="C12" s="434" t="str">
        <f>'1461'!C12</f>
        <v>FTE</v>
      </c>
      <c r="D12" s="434" t="str">
        <f>'1461'!D12</f>
        <v>FTE</v>
      </c>
      <c r="E12" s="90" t="s">
        <v>2</v>
      </c>
      <c r="F12" s="588" t="s">
        <v>63</v>
      </c>
      <c r="G12" s="588"/>
      <c r="H12" s="17" t="s">
        <v>59</v>
      </c>
      <c r="I12" s="387" t="s">
        <v>395</v>
      </c>
    </row>
    <row r="13" spans="1:9" x14ac:dyDescent="0.25">
      <c r="A13" s="589" t="s">
        <v>36</v>
      </c>
      <c r="B13" s="589"/>
      <c r="C13" s="91"/>
      <c r="D13" s="91"/>
      <c r="E13" s="92" t="s">
        <v>37</v>
      </c>
      <c r="F13" s="590" t="s">
        <v>38</v>
      </c>
      <c r="G13" s="590"/>
      <c r="H13" s="20" t="s">
        <v>39</v>
      </c>
      <c r="I13" s="21" t="s">
        <v>40</v>
      </c>
    </row>
    <row r="14" spans="1:9" x14ac:dyDescent="0.25">
      <c r="A14" s="591" t="s">
        <v>20</v>
      </c>
      <c r="B14" s="591"/>
      <c r="C14" s="141">
        <f>SUM('1461:4131'!C14)</f>
        <v>2225.8500000000004</v>
      </c>
      <c r="D14" s="141">
        <f>SUM('1461:4131'!D14)</f>
        <v>2180.5500000000002</v>
      </c>
      <c r="E14" s="187">
        <f>SUM('1461:4131'!E14)</f>
        <v>4406.3999999999996</v>
      </c>
      <c r="F14" s="592">
        <f>'1461'!F14:G14</f>
        <v>1.1180000000000001</v>
      </c>
      <c r="G14" s="592"/>
      <c r="H14" s="145">
        <f>SUM('1461:4131'!H14)</f>
        <v>4926.3550999999998</v>
      </c>
      <c r="I14" s="111">
        <f>SUM('1461:4131'!I14)</f>
        <v>27333802.360000003</v>
      </c>
    </row>
    <row r="15" spans="1:9" x14ac:dyDescent="0.25">
      <c r="A15" s="593" t="s">
        <v>21</v>
      </c>
      <c r="B15" s="593"/>
      <c r="C15" s="143">
        <f>SUM('1461:4131'!C15)</f>
        <v>293.5</v>
      </c>
      <c r="D15" s="143">
        <f>SUM('1461:4131'!D15)</f>
        <v>310.18999999999994</v>
      </c>
      <c r="E15" s="116">
        <f>SUM('1461:4131'!E15)</f>
        <v>603.69000000000005</v>
      </c>
      <c r="F15" s="594">
        <f>'1461'!F15:G15</f>
        <v>1.1180000000000001</v>
      </c>
      <c r="G15" s="594"/>
      <c r="H15" s="80">
        <f>SUM('1461:4131'!H15)</f>
        <v>674.92539999999985</v>
      </c>
      <c r="I15" s="101">
        <f>SUM('1461:4131'!I15)</f>
        <v>3744812.76</v>
      </c>
    </row>
    <row r="16" spans="1:9" x14ac:dyDescent="0.25">
      <c r="A16" s="593" t="s">
        <v>22</v>
      </c>
      <c r="B16" s="593"/>
      <c r="C16" s="143">
        <f>SUM('1461:4131'!C16)</f>
        <v>3475.9599999999991</v>
      </c>
      <c r="D16" s="143">
        <f>SUM('1461:4131'!D16)</f>
        <v>3471.6200000000013</v>
      </c>
      <c r="E16" s="116">
        <f>SUM('1461:4131'!E16)</f>
        <v>6947.579999999999</v>
      </c>
      <c r="F16" s="594">
        <f>'1461'!F16:G16</f>
        <v>1</v>
      </c>
      <c r="G16" s="594"/>
      <c r="H16" s="80">
        <f>SUM('1461:4131'!H16)</f>
        <v>6947.579999999999</v>
      </c>
      <c r="I16" s="101">
        <f>SUM('1461:4131'!I16)</f>
        <v>38548536.350000001</v>
      </c>
    </row>
    <row r="17" spans="1:9" x14ac:dyDescent="0.25">
      <c r="A17" s="593" t="s">
        <v>23</v>
      </c>
      <c r="B17" s="593"/>
      <c r="C17" s="143">
        <f>SUM('1461:4131'!C17)</f>
        <v>622.4</v>
      </c>
      <c r="D17" s="143">
        <f>SUM('1461:4131'!D17)</f>
        <v>615.99000000000012</v>
      </c>
      <c r="E17" s="116">
        <f>SUM('1461:4131'!E17)</f>
        <v>1238.3899999999999</v>
      </c>
      <c r="F17" s="594">
        <f>'1461'!F17:G17</f>
        <v>1</v>
      </c>
      <c r="G17" s="594"/>
      <c r="H17" s="80">
        <f>SUM('1461:4131'!H17)</f>
        <v>1238.3899999999999</v>
      </c>
      <c r="I17" s="101">
        <f>SUM('1461:4131'!I17)</f>
        <v>6871187.0800000001</v>
      </c>
    </row>
    <row r="18" spans="1:9" x14ac:dyDescent="0.25">
      <c r="A18" s="593" t="s">
        <v>24</v>
      </c>
      <c r="B18" s="593"/>
      <c r="C18" s="143">
        <f>SUM('1461:4131'!C18)</f>
        <v>2220.3100000000004</v>
      </c>
      <c r="D18" s="143">
        <f>SUM('1461:4131'!D18)</f>
        <v>2292.79</v>
      </c>
      <c r="E18" s="116">
        <f>SUM('1461:4131'!E18)</f>
        <v>4513.0999999999995</v>
      </c>
      <c r="F18" s="594">
        <f>'1461'!F18:G18</f>
        <v>0.97799999999999998</v>
      </c>
      <c r="G18" s="594"/>
      <c r="H18" s="80">
        <f>SUM('1461:4131'!H18)</f>
        <v>4413.8117999999995</v>
      </c>
      <c r="I18" s="101">
        <f>SUM('1461:4131'!I18)</f>
        <v>24489964.060000002</v>
      </c>
    </row>
    <row r="19" spans="1:9" x14ac:dyDescent="0.25">
      <c r="A19" s="593" t="s">
        <v>25</v>
      </c>
      <c r="B19" s="593"/>
      <c r="C19" s="143">
        <f>SUM('1461:4131'!C19)</f>
        <v>579.28</v>
      </c>
      <c r="D19" s="143">
        <f>SUM('1461:4131'!D19)</f>
        <v>595.6</v>
      </c>
      <c r="E19" s="116">
        <f>SUM('1461:4131'!E19)</f>
        <v>1174.8799999999999</v>
      </c>
      <c r="F19" s="594">
        <f>'1461'!F19:G19</f>
        <v>0.97799999999999998</v>
      </c>
      <c r="G19" s="594"/>
      <c r="H19" s="80">
        <f>SUM('1461:4131'!H19)</f>
        <v>1149.0325999999998</v>
      </c>
      <c r="I19" s="101">
        <f>SUM('1461:4131'!I19)</f>
        <v>6375388.9899999993</v>
      </c>
    </row>
    <row r="20" spans="1:9" x14ac:dyDescent="0.25">
      <c r="A20" s="593" t="s">
        <v>79</v>
      </c>
      <c r="B20" s="593"/>
      <c r="C20" s="143">
        <f>SUM('1461:4131'!C20)</f>
        <v>85</v>
      </c>
      <c r="D20" s="143">
        <f>SUM('1461:4131'!D20)</f>
        <v>85.600000000000009</v>
      </c>
      <c r="E20" s="116">
        <f>SUM('1461:4131'!E20)</f>
        <v>170.60000000000002</v>
      </c>
      <c r="F20" s="594">
        <f>'1461'!F20:G20</f>
        <v>3.6970000000000001</v>
      </c>
      <c r="G20" s="594"/>
      <c r="H20" s="80">
        <f>SUM('1461:4131'!H20)</f>
        <v>630.70820000000003</v>
      </c>
      <c r="I20" s="101">
        <f>SUM('1461:4131'!I20)</f>
        <v>3499474.35</v>
      </c>
    </row>
    <row r="21" spans="1:9" x14ac:dyDescent="0.25">
      <c r="A21" s="593" t="s">
        <v>80</v>
      </c>
      <c r="B21" s="593"/>
      <c r="C21" s="143">
        <f>SUM('1461:4131'!C21)</f>
        <v>70</v>
      </c>
      <c r="D21" s="143">
        <f>SUM('1461:4131'!D21)</f>
        <v>77.25</v>
      </c>
      <c r="E21" s="116">
        <f>SUM('1461:4131'!E21)</f>
        <v>147.25</v>
      </c>
      <c r="F21" s="594">
        <f>'1461'!F21:G21</f>
        <v>3.6970000000000001</v>
      </c>
      <c r="G21" s="594"/>
      <c r="H21" s="80">
        <f>SUM('1461:4131'!H21)</f>
        <v>544.38329999999996</v>
      </c>
      <c r="I21" s="101">
        <f>SUM('1461:4131'!I21)</f>
        <v>3020502.0199999996</v>
      </c>
    </row>
    <row r="22" spans="1:9" x14ac:dyDescent="0.25">
      <c r="A22" s="593" t="s">
        <v>81</v>
      </c>
      <c r="B22" s="593"/>
      <c r="C22" s="143">
        <f>SUM('1461:4131'!C22)</f>
        <v>61.21</v>
      </c>
      <c r="D22" s="143">
        <f>SUM('1461:4131'!D22)</f>
        <v>52.19</v>
      </c>
      <c r="E22" s="116">
        <f>SUM('1461:4131'!E22)</f>
        <v>113.4</v>
      </c>
      <c r="F22" s="594">
        <f>'1461'!F22:G22</f>
        <v>3.6970000000000001</v>
      </c>
      <c r="G22" s="594"/>
      <c r="H22" s="80">
        <f>SUM('1461:4131'!H22)</f>
        <v>419.23980000000006</v>
      </c>
      <c r="I22" s="101">
        <f>SUM('1461:4131'!I22)</f>
        <v>2326145.3200000003</v>
      </c>
    </row>
    <row r="23" spans="1:9" x14ac:dyDescent="0.25">
      <c r="A23" s="593" t="s">
        <v>82</v>
      </c>
      <c r="B23" s="593"/>
      <c r="C23" s="143">
        <f>SUM('1461:4131'!C23)</f>
        <v>24.5</v>
      </c>
      <c r="D23" s="143">
        <f>SUM('1461:4131'!D23)</f>
        <v>39.019999999999996</v>
      </c>
      <c r="E23" s="116">
        <f>SUM('1461:4131'!E23)</f>
        <v>63.519999999999996</v>
      </c>
      <c r="F23" s="594">
        <f>'1461'!F23:G23</f>
        <v>5.992</v>
      </c>
      <c r="G23" s="594"/>
      <c r="H23" s="80">
        <f>SUM('1461:4131'!H23)</f>
        <v>380.61180000000002</v>
      </c>
      <c r="I23" s="101">
        <f>SUM('1461:4131'!I23)</f>
        <v>2111818.4700000002</v>
      </c>
    </row>
    <row r="24" spans="1:9" x14ac:dyDescent="0.25">
      <c r="A24" s="593" t="s">
        <v>83</v>
      </c>
      <c r="B24" s="593"/>
      <c r="C24" s="143">
        <f>SUM('1461:4131'!C24)</f>
        <v>41.5</v>
      </c>
      <c r="D24" s="143">
        <f>SUM('1461:4131'!D24)</f>
        <v>44.04</v>
      </c>
      <c r="E24" s="116">
        <f>SUM('1461:4131'!E24)</f>
        <v>85.539999999999992</v>
      </c>
      <c r="F24" s="594">
        <f>'1461'!F24:G24</f>
        <v>5.992</v>
      </c>
      <c r="G24" s="594"/>
      <c r="H24" s="80">
        <f>SUM('1461:4131'!H24)</f>
        <v>512.5557</v>
      </c>
      <c r="I24" s="101">
        <f>SUM('1461:4131'!I24)</f>
        <v>2843907.09</v>
      </c>
    </row>
    <row r="25" spans="1:9" x14ac:dyDescent="0.25">
      <c r="A25" s="593" t="s">
        <v>84</v>
      </c>
      <c r="B25" s="593"/>
      <c r="C25" s="143">
        <f>SUM('1461:4131'!C25)</f>
        <v>44.98</v>
      </c>
      <c r="D25" s="143">
        <f>SUM('1461:4131'!D25)</f>
        <v>46.48</v>
      </c>
      <c r="E25" s="116">
        <f>SUM('1461:4131'!E25)</f>
        <v>91.46</v>
      </c>
      <c r="F25" s="594">
        <f>'1461'!F25:G25</f>
        <v>5.992</v>
      </c>
      <c r="G25" s="594"/>
      <c r="H25" s="80">
        <f>SUM('1461:4131'!H25)</f>
        <v>548.02829999999994</v>
      </c>
      <c r="I25" s="101">
        <f>SUM('1461:4131'!I25)</f>
        <v>3040726.2399999998</v>
      </c>
    </row>
    <row r="26" spans="1:9" x14ac:dyDescent="0.25">
      <c r="A26" s="593" t="s">
        <v>85</v>
      </c>
      <c r="B26" s="593"/>
      <c r="C26" s="143">
        <f>SUM('1461:4131'!C26)</f>
        <v>524.79000000000008</v>
      </c>
      <c r="D26" s="143">
        <f>SUM('1461:4131'!D26)</f>
        <v>528.30999999999995</v>
      </c>
      <c r="E26" s="116">
        <f>SUM('1461:4131'!E26)</f>
        <v>1053.0999999999999</v>
      </c>
      <c r="F26" s="594">
        <f>'1461'!F26:G26</f>
        <v>1.1919999999999999</v>
      </c>
      <c r="G26" s="594"/>
      <c r="H26" s="80">
        <f>SUM('1461:4131'!H26)</f>
        <v>1255.2951999999998</v>
      </c>
      <c r="I26" s="101">
        <f>SUM('1461:4131'!I26)</f>
        <v>6964985.2800000003</v>
      </c>
    </row>
    <row r="27" spans="1:9" x14ac:dyDescent="0.25">
      <c r="A27" s="593" t="s">
        <v>86</v>
      </c>
      <c r="B27" s="593"/>
      <c r="C27" s="143">
        <f>SUM('1461:4131'!C27)</f>
        <v>329.22</v>
      </c>
      <c r="D27" s="143">
        <f>SUM('1461:4131'!D27)</f>
        <v>317.61000000000013</v>
      </c>
      <c r="E27" s="116">
        <f>SUM('1461:4131'!E27)</f>
        <v>646.83000000000015</v>
      </c>
      <c r="F27" s="594">
        <f>'1461'!F27:G27</f>
        <v>1.1919999999999999</v>
      </c>
      <c r="G27" s="594"/>
      <c r="H27" s="80">
        <f>SUM('1461:4131'!H27)</f>
        <v>771.02139999999997</v>
      </c>
      <c r="I27" s="101">
        <f>SUM('1461:4131'!I27)</f>
        <v>4277999.88</v>
      </c>
    </row>
    <row r="28" spans="1:9" x14ac:dyDescent="0.25">
      <c r="A28" s="593" t="s">
        <v>87</v>
      </c>
      <c r="B28" s="593"/>
      <c r="C28" s="143">
        <f>SUM('1461:4131'!C28)</f>
        <v>141.30000000000001</v>
      </c>
      <c r="D28" s="143">
        <f>SUM('1461:4131'!D28)</f>
        <v>145.22999999999999</v>
      </c>
      <c r="E28" s="116">
        <f>SUM('1461:4131'!E28)</f>
        <v>286.52999999999997</v>
      </c>
      <c r="F28" s="594">
        <f>'1461'!F28:G28</f>
        <v>1.1919999999999999</v>
      </c>
      <c r="G28" s="594"/>
      <c r="H28" s="80">
        <f>SUM('1461:4131'!H28)</f>
        <v>341.54369999999994</v>
      </c>
      <c r="I28" s="101">
        <f>SUM('1461:4131'!I28)</f>
        <v>1895049.7699999998</v>
      </c>
    </row>
    <row r="29" spans="1:9" x14ac:dyDescent="0.25">
      <c r="A29" s="593" t="s">
        <v>88</v>
      </c>
      <c r="B29" s="593"/>
      <c r="C29" s="110">
        <f>SUM('1461:4131'!C29)</f>
        <v>290.58999999999992</v>
      </c>
      <c r="D29" s="110">
        <f>SUM('1461:4131'!D29)</f>
        <v>303.53000000000003</v>
      </c>
      <c r="E29" s="154">
        <f>SUM('1461:4131'!E29)</f>
        <v>594.12</v>
      </c>
      <c r="F29" s="594">
        <f>'1461'!F29:G29</f>
        <v>1.079</v>
      </c>
      <c r="G29" s="594"/>
      <c r="H29" s="93">
        <f>SUM('1461:4131'!H29)</f>
        <v>641.05549999999994</v>
      </c>
      <c r="I29" s="94">
        <f>SUM('1461:4131'!I29)</f>
        <v>3556886.1799999997</v>
      </c>
    </row>
    <row r="30" spans="1:9" x14ac:dyDescent="0.25">
      <c r="A30" s="595" t="s">
        <v>154</v>
      </c>
      <c r="B30" s="596"/>
      <c r="C30" s="111">
        <f>SUM(C14:C29)</f>
        <v>11030.39</v>
      </c>
      <c r="D30" s="111">
        <f>SUM(D14:D29)</f>
        <v>11106.000000000004</v>
      </c>
      <c r="E30" s="187">
        <f>SUM(E14:E29)</f>
        <v>22136.389999999996</v>
      </c>
      <c r="F30" s="597"/>
      <c r="G30" s="597"/>
      <c r="H30" s="145">
        <f>SUM(H14:H29)</f>
        <v>25394.537799999995</v>
      </c>
      <c r="I30" s="111">
        <f>SUM(I14:I29)</f>
        <v>140901186.20000002</v>
      </c>
    </row>
    <row r="31" spans="1:9" x14ac:dyDescent="0.25">
      <c r="A31" s="81" t="s">
        <v>155</v>
      </c>
      <c r="B31" s="156"/>
      <c r="C31" s="143">
        <f>Virtual!E22</f>
        <v>0</v>
      </c>
      <c r="D31" s="143">
        <f>Virtual!E23</f>
        <v>0</v>
      </c>
      <c r="E31" s="116">
        <f>IF(D$30=0,C31*2,C31+D31)</f>
        <v>0</v>
      </c>
      <c r="F31" s="594">
        <v>0.7</v>
      </c>
      <c r="G31" s="594"/>
      <c r="H31" s="80">
        <f t="shared" ref="H31" si="0">ROUND(E31*F31,4)</f>
        <v>0</v>
      </c>
      <c r="I31" s="101">
        <f>Virtual!E28</f>
        <v>0</v>
      </c>
    </row>
    <row r="32" spans="1:9" x14ac:dyDescent="0.25">
      <c r="A32" s="595" t="s">
        <v>156</v>
      </c>
      <c r="B32" s="596"/>
      <c r="C32" s="97">
        <f>SUM(C30:C31)</f>
        <v>11030.39</v>
      </c>
      <c r="D32" s="97">
        <f>SUM(D30:D31)</f>
        <v>11106.000000000004</v>
      </c>
      <c r="E32" s="97">
        <f>SUM(E30:E31)</f>
        <v>22136.389999999996</v>
      </c>
      <c r="F32" s="27"/>
      <c r="G32" s="27"/>
      <c r="H32" s="80"/>
      <c r="I32" s="97">
        <f>SUM(I30:I31)</f>
        <v>140901186.20000002</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0"/>
      <c r="C35" s="101"/>
      <c r="D35" s="101"/>
      <c r="E35" s="101"/>
      <c r="F35" s="485"/>
      <c r="G35" s="485"/>
      <c r="H35" s="80"/>
      <c r="I35" s="101"/>
    </row>
    <row r="36" spans="1:9" hidden="1" x14ac:dyDescent="0.25">
      <c r="A36" s="3"/>
      <c r="B36" s="69"/>
      <c r="C36" s="69"/>
      <c r="D36" s="69"/>
      <c r="E36" s="69"/>
      <c r="F36" s="69"/>
      <c r="G36" s="69"/>
      <c r="H36" s="69"/>
      <c r="I36" s="320" t="s">
        <v>304</v>
      </c>
    </row>
    <row r="37" spans="1:9" hidden="1" x14ac:dyDescent="0.25">
      <c r="A37" s="26"/>
      <c r="B37" s="26"/>
      <c r="C37" s="88" t="str">
        <f>C11</f>
        <v>Oct 2023</v>
      </c>
      <c r="D37" s="88" t="str">
        <f>D11</f>
        <v>Feb 2024</v>
      </c>
      <c r="E37" s="89" t="s">
        <v>8</v>
      </c>
      <c r="F37" s="27"/>
      <c r="G37" s="27"/>
      <c r="H37" s="104"/>
      <c r="I37" s="24" t="s">
        <v>27</v>
      </c>
    </row>
    <row r="38" spans="1:9" hidden="1" x14ac:dyDescent="0.25">
      <c r="A38" s="587" t="s">
        <v>50</v>
      </c>
      <c r="B38" s="587"/>
      <c r="C38" s="323" t="s">
        <v>2</v>
      </c>
      <c r="D38" s="323" t="s">
        <v>2</v>
      </c>
      <c r="E38" s="90" t="s">
        <v>2</v>
      </c>
      <c r="F38" s="105"/>
      <c r="G38" s="105"/>
      <c r="H38" s="105"/>
      <c r="I38" s="31" t="s">
        <v>62</v>
      </c>
    </row>
    <row r="39" spans="1:9" hidden="1" x14ac:dyDescent="0.25">
      <c r="A39" s="591" t="s">
        <v>45</v>
      </c>
      <c r="B39" s="591"/>
      <c r="C39" s="147">
        <f>SUM('1461:4111'!C38)</f>
        <v>0</v>
      </c>
      <c r="D39" s="147">
        <f>SUM('1461:4111'!D38)</f>
        <v>0</v>
      </c>
      <c r="E39" s="187">
        <f>SUM('1461:4111'!E38)</f>
        <v>0</v>
      </c>
      <c r="F39" s="148"/>
      <c r="G39" s="148"/>
      <c r="H39" s="148"/>
      <c r="I39" s="111">
        <f>SUM('1461:4111'!I38)</f>
        <v>0</v>
      </c>
    </row>
    <row r="40" spans="1:9" hidden="1" x14ac:dyDescent="0.25">
      <c r="A40" s="593" t="s">
        <v>46</v>
      </c>
      <c r="B40" s="593"/>
      <c r="C40" s="150">
        <f>SUM('1461:4111'!C39)</f>
        <v>0</v>
      </c>
      <c r="D40" s="150">
        <f>SUM('1461:4111'!D39)</f>
        <v>0</v>
      </c>
      <c r="E40" s="116">
        <f>SUM('1461:4111'!E39)</f>
        <v>0</v>
      </c>
      <c r="F40" s="151"/>
      <c r="G40" s="151"/>
      <c r="H40" s="151"/>
      <c r="I40" s="101">
        <f>SUM('1461:4111'!I39)</f>
        <v>0</v>
      </c>
    </row>
    <row r="41" spans="1:9" hidden="1" x14ac:dyDescent="0.25">
      <c r="A41" s="598" t="s">
        <v>47</v>
      </c>
      <c r="B41" s="598"/>
      <c r="C41" s="150">
        <f>SUM('1461:4111'!C40)</f>
        <v>0</v>
      </c>
      <c r="D41" s="150">
        <f>SUM('1461:4111'!D40)</f>
        <v>0</v>
      </c>
      <c r="E41" s="116">
        <f>SUM('1461:4111'!E40)</f>
        <v>0</v>
      </c>
      <c r="F41" s="151"/>
      <c r="G41" s="151"/>
      <c r="H41" s="151"/>
      <c r="I41" s="101">
        <f>SUM('1461:4111'!I40)</f>
        <v>0</v>
      </c>
    </row>
    <row r="42" spans="1:9" hidden="1" x14ac:dyDescent="0.25">
      <c r="A42" s="593" t="s">
        <v>48</v>
      </c>
      <c r="B42" s="593"/>
      <c r="C42" s="150">
        <f>SUM('1461:4111'!C41)</f>
        <v>0</v>
      </c>
      <c r="D42" s="150">
        <f>SUM('1461:4111'!D41)</f>
        <v>0</v>
      </c>
      <c r="E42" s="116">
        <f>SUM('1461:4111'!E41)</f>
        <v>0</v>
      </c>
      <c r="F42" s="151"/>
      <c r="G42" s="151"/>
      <c r="H42" s="151"/>
      <c r="I42" s="101">
        <f>SUM('1461:4111'!I41)</f>
        <v>0</v>
      </c>
    </row>
    <row r="43" spans="1:9" hidden="1" x14ac:dyDescent="0.25">
      <c r="A43" s="593" t="s">
        <v>49</v>
      </c>
      <c r="B43" s="593"/>
      <c r="C43" s="150">
        <f>SUM('1461:4111'!C42)</f>
        <v>0</v>
      </c>
      <c r="D43" s="150">
        <f>SUM('1461:4111'!D42)</f>
        <v>0</v>
      </c>
      <c r="E43" s="116">
        <f>SUM('1461:4111'!E42)</f>
        <v>0</v>
      </c>
      <c r="F43" s="151"/>
      <c r="G43" s="151"/>
      <c r="H43" s="151"/>
      <c r="I43" s="101">
        <f>SUM('1461:4111'!I42)</f>
        <v>0</v>
      </c>
    </row>
    <row r="44" spans="1:9" hidden="1" x14ac:dyDescent="0.25">
      <c r="A44" s="593" t="s">
        <v>41</v>
      </c>
      <c r="B44" s="593"/>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25394.537799999995</v>
      </c>
      <c r="F47" s="34"/>
      <c r="G47" s="106"/>
      <c r="H47" s="107" t="s">
        <v>98</v>
      </c>
      <c r="I47" s="94">
        <f>SUM(I45,I32)</f>
        <v>140901186.20000002</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396</v>
      </c>
      <c r="B50" s="26"/>
      <c r="C50" s="26"/>
      <c r="D50" s="26"/>
      <c r="E50" s="26"/>
      <c r="F50" s="34"/>
      <c r="G50" s="27"/>
      <c r="H50" s="27"/>
      <c r="I50" s="101"/>
    </row>
    <row r="51" spans="1:9" s="390" customFormat="1" ht="9" customHeight="1" x14ac:dyDescent="0.2">
      <c r="A51" s="389" t="s">
        <v>397</v>
      </c>
      <c r="F51" s="391"/>
      <c r="G51" s="392"/>
      <c r="H51" s="392"/>
      <c r="I51" s="393"/>
    </row>
    <row r="52" spans="1:9" s="390" customFormat="1" ht="11.25" customHeight="1" x14ac:dyDescent="0.2">
      <c r="A52" s="397" t="s">
        <v>398</v>
      </c>
      <c r="F52" s="391"/>
      <c r="G52" s="392"/>
      <c r="H52" s="392"/>
      <c r="I52" s="393"/>
    </row>
    <row r="53" spans="1:9" x14ac:dyDescent="0.25">
      <c r="A53" s="388"/>
      <c r="B53" s="3" t="s">
        <v>513</v>
      </c>
      <c r="C53" s="26"/>
      <c r="D53" s="26"/>
      <c r="E53" s="43" t="s">
        <v>399</v>
      </c>
      <c r="F53" s="399">
        <f>SUM('1461:4131'!F51)</f>
        <v>140901186.20000005</v>
      </c>
      <c r="G53" s="109" t="s">
        <v>6</v>
      </c>
      <c r="H53" s="400">
        <f>'1461'!H51</f>
        <v>5.5899999999999998E-2</v>
      </c>
      <c r="I53" s="101">
        <f>SUM('1461:4131'!I51)</f>
        <v>7876376.3100000005</v>
      </c>
    </row>
    <row r="54" spans="1:9" x14ac:dyDescent="0.25">
      <c r="A54" s="26"/>
      <c r="B54" s="558" t="s">
        <v>521</v>
      </c>
      <c r="C54" s="26"/>
      <c r="D54" s="26"/>
      <c r="E54" s="43" t="s">
        <v>399</v>
      </c>
      <c r="F54" s="399">
        <f>SUM('1461:4131'!F52)</f>
        <v>140901186.20000005</v>
      </c>
      <c r="G54" s="109" t="s">
        <v>6</v>
      </c>
      <c r="H54" s="400">
        <f>'1461'!H52</f>
        <v>1.0699999999999999E-2</v>
      </c>
      <c r="I54" s="94">
        <f>SUM('1461:4131'!I52)</f>
        <v>1507642.6900000004</v>
      </c>
    </row>
    <row r="55" spans="1:9" x14ac:dyDescent="0.25">
      <c r="A55" s="26"/>
      <c r="B55" s="81" t="s">
        <v>400</v>
      </c>
      <c r="C55" s="26"/>
      <c r="D55" s="26"/>
      <c r="E55" s="43"/>
      <c r="F55" s="399"/>
      <c r="G55" s="109"/>
      <c r="H55" s="400"/>
      <c r="I55" s="97">
        <f>SUM(I53:I54)</f>
        <v>9384019</v>
      </c>
    </row>
    <row r="56" spans="1:9" x14ac:dyDescent="0.25">
      <c r="A56" s="26"/>
      <c r="B56" s="26"/>
      <c r="C56" s="26"/>
      <c r="D56" s="26"/>
      <c r="E56" s="26"/>
      <c r="F56" s="34"/>
      <c r="G56" s="27"/>
      <c r="H56" s="27"/>
      <c r="I56" s="101"/>
    </row>
    <row r="57" spans="1:9" x14ac:dyDescent="0.25">
      <c r="A57" s="490"/>
      <c r="B57" s="490"/>
      <c r="C57" s="88" t="str">
        <f>C11</f>
        <v>Oct 2023</v>
      </c>
      <c r="D57" s="332" t="str">
        <f t="shared" ref="D57:D58" si="1">D11</f>
        <v>Feb 2024</v>
      </c>
      <c r="E57" s="89" t="s">
        <v>8</v>
      </c>
      <c r="F57" s="46" t="s">
        <v>438</v>
      </c>
      <c r="G57" s="109" t="s">
        <v>439</v>
      </c>
      <c r="H57" s="453" t="s">
        <v>440</v>
      </c>
      <c r="I57" s="101"/>
    </row>
    <row r="58" spans="1:9" x14ac:dyDescent="0.25">
      <c r="A58" s="36" t="s">
        <v>441</v>
      </c>
      <c r="B58" s="36"/>
      <c r="C58" s="323" t="str">
        <f t="shared" ref="C58" si="2">C12</f>
        <v>FTE</v>
      </c>
      <c r="D58" s="323" t="str">
        <f t="shared" si="1"/>
        <v>FTE</v>
      </c>
      <c r="E58" s="90" t="s">
        <v>2</v>
      </c>
      <c r="F58" s="483" t="s">
        <v>442</v>
      </c>
      <c r="G58" s="486" t="s">
        <v>442</v>
      </c>
      <c r="H58" s="454" t="s">
        <v>443</v>
      </c>
      <c r="I58" s="36"/>
    </row>
    <row r="59" spans="1:9" ht="15.75" customHeight="1" x14ac:dyDescent="0.25">
      <c r="A59" s="603" t="s">
        <v>445</v>
      </c>
      <c r="B59" s="603"/>
      <c r="C59" s="143">
        <f>SUM('1461:4131'!C57)</f>
        <v>244.5</v>
      </c>
      <c r="D59" s="143">
        <f>SUM('1461:4131'!D57)</f>
        <v>252.45000000000005</v>
      </c>
      <c r="E59" s="116">
        <f>SUM('1461:4131'!E57)</f>
        <v>496.95</v>
      </c>
      <c r="F59" s="488" t="s">
        <v>437</v>
      </c>
      <c r="G59" s="488">
        <v>251</v>
      </c>
      <c r="H59" s="456">
        <f>'1461'!H57</f>
        <v>1047</v>
      </c>
      <c r="I59" s="101">
        <f>SUM('1461:4131'!I57)</f>
        <v>520306.65</v>
      </c>
    </row>
    <row r="60" spans="1:9" x14ac:dyDescent="0.25">
      <c r="A60" s="604"/>
      <c r="B60" s="604"/>
      <c r="C60" s="143">
        <f>SUM('1461:4131'!C58)</f>
        <v>39.5</v>
      </c>
      <c r="D60" s="143">
        <f>SUM('1461:4131'!D58)</f>
        <v>47.719999999999992</v>
      </c>
      <c r="E60" s="116">
        <f>SUM('1461:4131'!E58)</f>
        <v>87.22</v>
      </c>
      <c r="F60" s="488" t="s">
        <v>437</v>
      </c>
      <c r="G60" s="488">
        <v>252</v>
      </c>
      <c r="H60" s="456">
        <f>'1461'!H58</f>
        <v>3380</v>
      </c>
      <c r="I60" s="101">
        <f>SUM('1461:4131'!I58)</f>
        <v>294803.59999999998</v>
      </c>
    </row>
    <row r="61" spans="1:9" x14ac:dyDescent="0.25">
      <c r="A61" s="604"/>
      <c r="B61" s="604"/>
      <c r="C61" s="143">
        <f>SUM('1461:4131'!C59)</f>
        <v>9.5</v>
      </c>
      <c r="D61" s="143">
        <f>SUM('1461:4131'!D59)</f>
        <v>10.02</v>
      </c>
      <c r="E61" s="116">
        <f>SUM('1461:4131'!E59)</f>
        <v>19.520000000000003</v>
      </c>
      <c r="F61" s="488" t="s">
        <v>437</v>
      </c>
      <c r="G61" s="488">
        <v>253</v>
      </c>
      <c r="H61" s="456">
        <f>'1461'!H59</f>
        <v>6896</v>
      </c>
      <c r="I61" s="101">
        <f>SUM('1461:4131'!I59)</f>
        <v>134609.92000000001</v>
      </c>
    </row>
    <row r="62" spans="1:9" x14ac:dyDescent="0.25">
      <c r="A62" s="604"/>
      <c r="B62" s="604"/>
      <c r="C62" s="143">
        <f>SUM('1461:4131'!C60)</f>
        <v>559.37</v>
      </c>
      <c r="D62" s="143">
        <f>SUM('1461:4131'!D60)</f>
        <v>548.16999999999996</v>
      </c>
      <c r="E62" s="116">
        <f>SUM('1461:4131'!E60)</f>
        <v>1107.54</v>
      </c>
      <c r="F62" s="489" t="s">
        <v>13</v>
      </c>
      <c r="G62" s="488">
        <v>251</v>
      </c>
      <c r="H62" s="456">
        <f>'1461'!H60</f>
        <v>1173</v>
      </c>
      <c r="I62" s="101">
        <f>SUM('1461:4131'!I60)</f>
        <v>1299144.4200000002</v>
      </c>
    </row>
    <row r="63" spans="1:9" x14ac:dyDescent="0.25">
      <c r="A63" s="604"/>
      <c r="B63" s="604"/>
      <c r="C63" s="143">
        <f>SUM('1461:4131'!C61)</f>
        <v>51.03</v>
      </c>
      <c r="D63" s="143">
        <f>SUM('1461:4131'!D61)</f>
        <v>53.44</v>
      </c>
      <c r="E63" s="116">
        <f>SUM('1461:4131'!E61)</f>
        <v>104.47</v>
      </c>
      <c r="F63" s="489" t="s">
        <v>13</v>
      </c>
      <c r="G63" s="488">
        <v>252</v>
      </c>
      <c r="H63" s="456">
        <f>'1461'!H61</f>
        <v>3506</v>
      </c>
      <c r="I63" s="101">
        <f>SUM('1461:4131'!I61)</f>
        <v>366271.82</v>
      </c>
    </row>
    <row r="64" spans="1:9" x14ac:dyDescent="0.25">
      <c r="A64" s="604"/>
      <c r="B64" s="604"/>
      <c r="C64" s="143">
        <f>SUM('1461:4131'!C62)</f>
        <v>12</v>
      </c>
      <c r="D64" s="143">
        <f>SUM('1461:4131'!D62)</f>
        <v>14.38</v>
      </c>
      <c r="E64" s="116">
        <f>SUM('1461:4131'!E62)</f>
        <v>26.38</v>
      </c>
      <c r="F64" s="489" t="s">
        <v>13</v>
      </c>
      <c r="G64" s="488">
        <v>253</v>
      </c>
      <c r="H64" s="456">
        <f>'1461'!H62</f>
        <v>7023</v>
      </c>
      <c r="I64" s="101">
        <f>SUM('1461:4131'!I62)</f>
        <v>185266.74000000002</v>
      </c>
    </row>
    <row r="65" spans="1:9" x14ac:dyDescent="0.25">
      <c r="A65" s="604"/>
      <c r="B65" s="604"/>
      <c r="C65" s="143">
        <f>SUM('1461:4131'!C63)</f>
        <v>403.43</v>
      </c>
      <c r="D65" s="143">
        <f>SUM('1461:4131'!D63)</f>
        <v>414.00000000000006</v>
      </c>
      <c r="E65" s="116">
        <f>SUM('1461:4131'!E63)</f>
        <v>817.42999999999984</v>
      </c>
      <c r="F65" s="489" t="s">
        <v>14</v>
      </c>
      <c r="G65" s="488">
        <v>251</v>
      </c>
      <c r="H65" s="456">
        <f>'1461'!H63</f>
        <v>835</v>
      </c>
      <c r="I65" s="101">
        <f>SUM('1461:4131'!I63)</f>
        <v>682554.05000000016</v>
      </c>
    </row>
    <row r="66" spans="1:9" x14ac:dyDescent="0.25">
      <c r="A66" s="604"/>
      <c r="B66" s="604"/>
      <c r="C66" s="143">
        <f>SUM('1461:4131'!C64)</f>
        <v>63.36</v>
      </c>
      <c r="D66" s="143">
        <f>SUM('1461:4131'!D64)</f>
        <v>63.4</v>
      </c>
      <c r="E66" s="116">
        <f>SUM('1461:4131'!E64)</f>
        <v>126.76000000000002</v>
      </c>
      <c r="F66" s="489" t="s">
        <v>14</v>
      </c>
      <c r="G66" s="488">
        <v>252</v>
      </c>
      <c r="H66" s="456">
        <f>'1461'!H64</f>
        <v>3168</v>
      </c>
      <c r="I66" s="101">
        <f>SUM('1461:4131'!I64)</f>
        <v>401575.68000000005</v>
      </c>
    </row>
    <row r="67" spans="1:9" x14ac:dyDescent="0.25">
      <c r="A67" s="604"/>
      <c r="B67" s="604"/>
      <c r="C67" s="143">
        <f>SUM('1461:4131'!C65)</f>
        <v>112.49000000000001</v>
      </c>
      <c r="D67" s="143">
        <f>SUM('1461:4131'!D65)</f>
        <v>118.2</v>
      </c>
      <c r="E67" s="116">
        <f>SUM('1461:4131'!E65)</f>
        <v>230.69000000000003</v>
      </c>
      <c r="F67" s="489" t="s">
        <v>14</v>
      </c>
      <c r="G67" s="488">
        <v>253</v>
      </c>
      <c r="H67" s="456">
        <f>'1461'!H65</f>
        <v>6685</v>
      </c>
      <c r="I67" s="101">
        <f>SUM('1461:4131'!I65)</f>
        <v>1542162.65</v>
      </c>
    </row>
    <row r="68" spans="1:9" x14ac:dyDescent="0.25">
      <c r="A68" s="484"/>
      <c r="C68" s="97">
        <f>SUM(C59:C67)</f>
        <v>1495.1799999999998</v>
      </c>
      <c r="D68" s="97">
        <f>SUM(D59:D67)</f>
        <v>1521.7800000000002</v>
      </c>
      <c r="E68" s="97">
        <f>SUM(E59:E67)</f>
        <v>3016.9600000000005</v>
      </c>
      <c r="F68" s="605" t="s">
        <v>446</v>
      </c>
      <c r="G68" s="605"/>
      <c r="H68" s="605"/>
      <c r="I68" s="97">
        <f>SUM(I59:I67)</f>
        <v>5426695.5300000012</v>
      </c>
    </row>
    <row r="69" spans="1:9" x14ac:dyDescent="0.25">
      <c r="A69" s="490"/>
      <c r="B69" s="490"/>
      <c r="C69" s="542"/>
      <c r="D69" s="490"/>
      <c r="E69" s="490"/>
      <c r="F69" s="34"/>
      <c r="G69" s="485"/>
      <c r="H69" s="485"/>
      <c r="I69" s="101"/>
    </row>
    <row r="70" spans="1:9" x14ac:dyDescent="0.25">
      <c r="A70" s="487" t="s">
        <v>448</v>
      </c>
    </row>
    <row r="71" spans="1:9" x14ac:dyDescent="0.25">
      <c r="A71" s="599" t="s">
        <v>401</v>
      </c>
      <c r="B71" s="593"/>
      <c r="C71" s="112">
        <f>SUM('1461:4131'!C69)</f>
        <v>22136.39</v>
      </c>
      <c r="D71" s="580" t="s">
        <v>412</v>
      </c>
      <c r="E71" s="580"/>
      <c r="F71" s="580"/>
      <c r="G71" s="580"/>
      <c r="H71" s="287">
        <f>'1461'!H69</f>
        <v>210228.91</v>
      </c>
      <c r="I71" s="113"/>
    </row>
    <row r="72" spans="1:9" x14ac:dyDescent="0.25">
      <c r="B72" s="69"/>
      <c r="G72" s="42" t="s">
        <v>12</v>
      </c>
      <c r="H72" s="114">
        <f>ROUND(C71/H71,6)</f>
        <v>0.105297</v>
      </c>
      <c r="I72" s="115"/>
    </row>
    <row r="73" spans="1:9" x14ac:dyDescent="0.25">
      <c r="A73" s="487" t="s">
        <v>449</v>
      </c>
    </row>
    <row r="74" spans="1:9" x14ac:dyDescent="0.25">
      <c r="A74" s="599" t="s">
        <v>402</v>
      </c>
      <c r="B74" s="593"/>
      <c r="C74" s="412">
        <f>SUM('1461:4131'!C72)</f>
        <v>25394.537800000002</v>
      </c>
      <c r="D74" s="580" t="s">
        <v>413</v>
      </c>
      <c r="E74" s="580"/>
      <c r="F74" s="580"/>
      <c r="G74" s="580"/>
      <c r="H74" s="288">
        <f>'1461'!H72</f>
        <v>234891.44</v>
      </c>
      <c r="I74" s="116"/>
    </row>
    <row r="75" spans="1:9" x14ac:dyDescent="0.25">
      <c r="G75" s="42" t="s">
        <v>12</v>
      </c>
      <c r="H75" s="114">
        <f>ROUND(C74/H74,6)</f>
        <v>0.108112</v>
      </c>
      <c r="I75" s="114"/>
    </row>
    <row r="76" spans="1:9" x14ac:dyDescent="0.25">
      <c r="A76" s="416" t="s">
        <v>450</v>
      </c>
      <c r="B76" s="413"/>
      <c r="C76" s="413"/>
      <c r="D76" s="413"/>
      <c r="E76" s="413"/>
      <c r="F76" s="413"/>
      <c r="G76" s="413"/>
      <c r="H76" s="413"/>
      <c r="I76" s="413"/>
    </row>
    <row r="77" spans="1:9" x14ac:dyDescent="0.25">
      <c r="A77" s="599" t="s">
        <v>403</v>
      </c>
      <c r="B77" s="593"/>
      <c r="C77" s="112">
        <f>SUM('1461:4131'!C75)</f>
        <v>22136.39</v>
      </c>
      <c r="D77" s="572" t="s">
        <v>414</v>
      </c>
      <c r="E77" s="572"/>
      <c r="F77" s="572"/>
      <c r="G77" s="572"/>
      <c r="H77" s="287">
        <f>'1461'!H75</f>
        <v>187665.41</v>
      </c>
      <c r="I77" s="113"/>
    </row>
    <row r="78" spans="1:9" x14ac:dyDescent="0.25">
      <c r="B78" s="69"/>
      <c r="G78" s="42" t="s">
        <v>12</v>
      </c>
      <c r="H78" s="114">
        <f>ROUND(C77/H77,6)</f>
        <v>0.11795700000000001</v>
      </c>
      <c r="I78" s="115"/>
    </row>
    <row r="79" spans="1:9" x14ac:dyDescent="0.25">
      <c r="A79" s="416" t="s">
        <v>451</v>
      </c>
      <c r="B79" s="413"/>
      <c r="C79" s="413"/>
      <c r="D79" s="413"/>
      <c r="E79" s="413"/>
      <c r="F79" s="413"/>
      <c r="G79" s="413"/>
      <c r="H79" s="413"/>
      <c r="I79" s="413"/>
    </row>
    <row r="80" spans="1:9" x14ac:dyDescent="0.25">
      <c r="A80" s="599" t="s">
        <v>403</v>
      </c>
      <c r="B80" s="593"/>
      <c r="C80" s="112">
        <f>SUM('1461:4131'!C78)</f>
        <v>22136.39</v>
      </c>
      <c r="D80" s="600" t="s">
        <v>415</v>
      </c>
      <c r="E80" s="600"/>
      <c r="F80" s="600"/>
      <c r="G80" s="600"/>
      <c r="H80" s="287">
        <f>'1461'!H78</f>
        <v>209892.26</v>
      </c>
      <c r="I80" s="113"/>
    </row>
    <row r="81" spans="1:11" x14ac:dyDescent="0.25">
      <c r="B81" s="69"/>
      <c r="G81" s="42" t="s">
        <v>12</v>
      </c>
      <c r="H81" s="114">
        <f>ROUND(C80/H80,6)</f>
        <v>0.105465</v>
      </c>
      <c r="I81" s="115"/>
    </row>
    <row r="82" spans="1:11" x14ac:dyDescent="0.25">
      <c r="A82" s="416" t="s">
        <v>452</v>
      </c>
      <c r="B82" s="413"/>
      <c r="C82" s="413"/>
      <c r="D82" s="413"/>
      <c r="E82" s="413"/>
      <c r="F82" s="413"/>
      <c r="G82" s="413"/>
      <c r="H82" s="413"/>
      <c r="I82" s="413"/>
    </row>
    <row r="83" spans="1:11" x14ac:dyDescent="0.25">
      <c r="A83" s="599" t="s">
        <v>411</v>
      </c>
      <c r="B83" s="593"/>
      <c r="C83" s="112">
        <f>SUM('1461:4131'!C81)</f>
        <v>22136.39</v>
      </c>
      <c r="D83" s="572" t="s">
        <v>416</v>
      </c>
      <c r="E83" s="572"/>
      <c r="F83" s="572"/>
      <c r="G83" s="572"/>
      <c r="H83" s="287">
        <f>'1461'!H81</f>
        <v>187328.76</v>
      </c>
      <c r="I83" s="113"/>
    </row>
    <row r="84" spans="1:11" x14ac:dyDescent="0.25">
      <c r="B84" s="69"/>
      <c r="G84" s="42" t="s">
        <v>12</v>
      </c>
      <c r="H84" s="114">
        <f>ROUND(C83/H83,6)</f>
        <v>0.118169</v>
      </c>
      <c r="I84" s="115"/>
    </row>
    <row r="85" spans="1:11" x14ac:dyDescent="0.25">
      <c r="A85" s="241"/>
      <c r="G85" s="42"/>
      <c r="H85" s="114"/>
      <c r="I85" s="114"/>
    </row>
    <row r="86" spans="1:11" x14ac:dyDescent="0.25">
      <c r="A86" s="487" t="s">
        <v>453</v>
      </c>
      <c r="D86" s="69"/>
      <c r="E86" s="43" t="s">
        <v>299</v>
      </c>
      <c r="F86" s="289">
        <f>'1461'!F85</f>
        <v>46163704</v>
      </c>
      <c r="G86" s="37" t="s">
        <v>6</v>
      </c>
      <c r="H86" s="421">
        <f>H81</f>
        <v>0.105465</v>
      </c>
      <c r="I86" s="101">
        <f>SUM('1461:4131'!I85)</f>
        <v>4868608.87</v>
      </c>
      <c r="K86" s="236"/>
    </row>
    <row r="87" spans="1:11" x14ac:dyDescent="0.25">
      <c r="A87" s="398"/>
      <c r="D87" s="69"/>
      <c r="E87" s="43"/>
      <c r="F87" s="275"/>
      <c r="G87" s="37"/>
      <c r="H87" s="421"/>
      <c r="I87" s="101"/>
    </row>
    <row r="88" spans="1:11" x14ac:dyDescent="0.25">
      <c r="A88" s="602" t="s">
        <v>71</v>
      </c>
      <c r="B88" s="593"/>
      <c r="C88" s="593"/>
      <c r="D88" s="69"/>
      <c r="E88" s="43"/>
      <c r="F88" s="275"/>
      <c r="G88" s="37"/>
      <c r="H88" s="421"/>
      <c r="I88" s="101"/>
    </row>
    <row r="89" spans="1:11" ht="15.75" customHeight="1" x14ac:dyDescent="0.25">
      <c r="A89" s="602" t="s">
        <v>99</v>
      </c>
      <c r="B89" s="593"/>
      <c r="C89" s="593"/>
      <c r="D89" s="69"/>
      <c r="E89" s="43" t="s">
        <v>3</v>
      </c>
      <c r="F89" s="289">
        <f>'1461'!F88</f>
        <v>0</v>
      </c>
      <c r="G89" s="37" t="s">
        <v>6</v>
      </c>
      <c r="H89" s="421">
        <f>H72</f>
        <v>0.105297</v>
      </c>
      <c r="I89" s="101">
        <f>SUM('1461:4131'!I88)</f>
        <v>0</v>
      </c>
    </row>
    <row r="90" spans="1:11" ht="15.75" customHeight="1" x14ac:dyDescent="0.25">
      <c r="A90" s="430"/>
      <c r="B90" s="69"/>
      <c r="C90" s="69"/>
      <c r="D90" s="69"/>
      <c r="E90" s="43"/>
      <c r="F90" s="275"/>
      <c r="G90" s="37"/>
      <c r="H90" s="421"/>
      <c r="I90" s="101"/>
    </row>
    <row r="91" spans="1:11" x14ac:dyDescent="0.25">
      <c r="A91" s="487" t="s">
        <v>454</v>
      </c>
      <c r="D91" s="69"/>
      <c r="E91" s="43" t="s">
        <v>419</v>
      </c>
      <c r="F91" s="289">
        <f>'1461'!F90</f>
        <v>19042026</v>
      </c>
      <c r="G91" s="37" t="s">
        <v>6</v>
      </c>
      <c r="H91" s="421">
        <f>H84</f>
        <v>0.118169</v>
      </c>
      <c r="I91" s="101">
        <f>SUM('1461:4131'!I90)</f>
        <v>2250177.1800000006</v>
      </c>
    </row>
    <row r="92" spans="1:11" x14ac:dyDescent="0.25">
      <c r="A92" s="398"/>
      <c r="D92" s="69"/>
      <c r="E92" s="43"/>
      <c r="F92" s="275"/>
      <c r="G92" s="37"/>
      <c r="H92" s="421"/>
      <c r="I92" s="101"/>
    </row>
    <row r="93" spans="1:11" x14ac:dyDescent="0.25">
      <c r="A93" s="487" t="s">
        <v>455</v>
      </c>
      <c r="D93" s="69"/>
      <c r="E93" s="43" t="s">
        <v>3</v>
      </c>
      <c r="F93" s="289">
        <f>'1461'!F92</f>
        <v>11441151</v>
      </c>
      <c r="G93" s="37" t="s">
        <v>6</v>
      </c>
      <c r="H93" s="421">
        <f>H78</f>
        <v>0.11795700000000001</v>
      </c>
      <c r="I93" s="101">
        <f>SUM('1461:4131'!I92)</f>
        <v>1349586.7300000002</v>
      </c>
    </row>
    <row r="94" spans="1:11" x14ac:dyDescent="0.25">
      <c r="A94" s="81"/>
      <c r="D94" s="69"/>
      <c r="E94" s="43"/>
      <c r="F94" s="116"/>
      <c r="G94" s="37"/>
      <c r="H94" s="417"/>
      <c r="I94" s="101"/>
    </row>
    <row r="95" spans="1:11" x14ac:dyDescent="0.25">
      <c r="A95" s="599" t="s">
        <v>420</v>
      </c>
      <c r="B95" s="593"/>
      <c r="C95" s="593"/>
      <c r="D95" s="69"/>
      <c r="E95" s="43" t="s">
        <v>4</v>
      </c>
      <c r="F95" s="289">
        <f>'1461'!F94</f>
        <v>255756816</v>
      </c>
      <c r="G95" s="37" t="s">
        <v>6</v>
      </c>
      <c r="H95" s="421">
        <f>H75</f>
        <v>0.108112</v>
      </c>
      <c r="I95" s="101">
        <f>SUM('1461:4131'!I94)</f>
        <v>27650636.650000002</v>
      </c>
    </row>
    <row r="96" spans="1:11" x14ac:dyDescent="0.25">
      <c r="A96" s="81"/>
      <c r="B96" s="69"/>
      <c r="C96" s="69"/>
      <c r="D96" s="69"/>
      <c r="E96" s="43"/>
      <c r="F96" s="275"/>
      <c r="G96" s="37"/>
      <c r="H96" s="421"/>
      <c r="I96" s="101"/>
    </row>
    <row r="97" spans="1:9" x14ac:dyDescent="0.25">
      <c r="A97" s="599" t="s">
        <v>421</v>
      </c>
      <c r="B97" s="593"/>
      <c r="C97" s="593"/>
      <c r="D97" s="69"/>
      <c r="E97" s="43" t="s">
        <v>4</v>
      </c>
      <c r="F97" s="289">
        <f>'1461'!F96</f>
        <v>-1585559</v>
      </c>
      <c r="G97" s="37" t="s">
        <v>6</v>
      </c>
      <c r="H97" s="421">
        <f>H75</f>
        <v>0.108112</v>
      </c>
      <c r="I97" s="101">
        <f>SUM('1461:4131'!I96)</f>
        <v>-171419.54999999996</v>
      </c>
    </row>
    <row r="98" spans="1:9" x14ac:dyDescent="0.25">
      <c r="A98" s="81"/>
      <c r="B98" s="69"/>
      <c r="C98" s="69"/>
      <c r="D98" s="69"/>
      <c r="E98" s="43"/>
      <c r="F98" s="275"/>
      <c r="G98" s="37"/>
      <c r="H98" s="421"/>
      <c r="I98" s="101"/>
    </row>
    <row r="99" spans="1:9" x14ac:dyDescent="0.25">
      <c r="A99" s="398" t="s">
        <v>422</v>
      </c>
    </row>
    <row r="100" spans="1:9" x14ac:dyDescent="0.25">
      <c r="B100" s="69"/>
      <c r="C100" s="578" t="s">
        <v>60</v>
      </c>
      <c r="D100" s="578"/>
      <c r="E100" s="69"/>
      <c r="F100" s="39" t="s">
        <v>28</v>
      </c>
      <c r="G100" s="69"/>
      <c r="H100" s="69"/>
      <c r="I100" s="69"/>
    </row>
    <row r="101" spans="1:9" x14ac:dyDescent="0.25">
      <c r="A101" s="3"/>
      <c r="B101" s="118"/>
      <c r="C101" s="579" t="s">
        <v>101</v>
      </c>
      <c r="D101" s="579"/>
      <c r="E101" s="119" t="s">
        <v>423</v>
      </c>
      <c r="F101" s="120" t="s">
        <v>106</v>
      </c>
      <c r="G101" s="121"/>
      <c r="H101" s="121"/>
      <c r="I101" s="121"/>
    </row>
    <row r="102" spans="1:9" x14ac:dyDescent="0.25">
      <c r="A102" s="26"/>
      <c r="B102" s="52" t="s">
        <v>105</v>
      </c>
      <c r="C102" s="611">
        <f>SUM('1461:4131'!C104)</f>
        <v>7867.8957000000009</v>
      </c>
      <c r="D102" s="611">
        <f>SUM('1461:4131'!D101)</f>
        <v>0</v>
      </c>
      <c r="E102" s="46">
        <f>'1461'!E104</f>
        <v>1.0407999999999999</v>
      </c>
      <c r="F102" s="290">
        <f>'1461'!F104</f>
        <v>950.92</v>
      </c>
      <c r="G102" s="39" t="s">
        <v>12</v>
      </c>
      <c r="H102" s="101">
        <f>SUM('1461:4131'!H104)</f>
        <v>7786994.3300000001</v>
      </c>
      <c r="I102" s="104"/>
    </row>
    <row r="103" spans="1:9" x14ac:dyDescent="0.25">
      <c r="A103" s="49"/>
      <c r="B103" s="49" t="s">
        <v>104</v>
      </c>
      <c r="C103" s="611">
        <f>SUM('1461:4131'!C105)</f>
        <v>10013.930399999999</v>
      </c>
      <c r="D103" s="611">
        <f>SUM('1461:4131'!D102)</f>
        <v>0</v>
      </c>
      <c r="E103" s="46">
        <f>'1461'!E105</f>
        <v>1.0407999999999999</v>
      </c>
      <c r="F103" s="290">
        <f>'1461'!F105</f>
        <v>907.92</v>
      </c>
      <c r="G103" s="39" t="s">
        <v>12</v>
      </c>
      <c r="H103" s="101">
        <f>SUM('1461:4131'!H105)</f>
        <v>9462795.0699999984</v>
      </c>
    </row>
    <row r="104" spans="1:9" x14ac:dyDescent="0.25">
      <c r="A104" s="52"/>
      <c r="B104" s="52" t="s">
        <v>103</v>
      </c>
      <c r="C104" s="611">
        <f>SUM('1461:4131'!C106)</f>
        <v>7512.7117000000017</v>
      </c>
      <c r="D104" s="611">
        <f>SUM('1461:4131'!D103)</f>
        <v>0</v>
      </c>
      <c r="E104" s="46">
        <f>'1461'!E106</f>
        <v>1.0407999999999999</v>
      </c>
      <c r="F104" s="290">
        <f>'1461'!F106</f>
        <v>910.12</v>
      </c>
      <c r="G104" s="39" t="s">
        <v>12</v>
      </c>
      <c r="H104" s="94">
        <f>SUM('1461:4131'!H106)</f>
        <v>7116437.9000000004</v>
      </c>
    </row>
    <row r="105" spans="1:9" ht="16.5" thickBot="1" x14ac:dyDescent="0.3">
      <c r="A105" s="55"/>
      <c r="B105" s="122" t="s">
        <v>102</v>
      </c>
      <c r="C105" s="601">
        <f>SUM(C102:C104)</f>
        <v>25394.537799999998</v>
      </c>
      <c r="D105" s="601"/>
      <c r="E105" s="123"/>
      <c r="F105" s="123"/>
      <c r="G105" s="123"/>
      <c r="H105" s="124" t="s">
        <v>100</v>
      </c>
      <c r="I105" s="101">
        <f>SUM('1461:4131'!I107)</f>
        <v>24366227.300000001</v>
      </c>
    </row>
    <row r="106" spans="1:9" ht="16.5" thickTop="1" x14ac:dyDescent="0.25">
      <c r="A106" s="570" t="s">
        <v>65</v>
      </c>
      <c r="B106" s="570"/>
      <c r="C106" s="570"/>
      <c r="D106" s="570"/>
      <c r="E106" s="570"/>
      <c r="F106" s="570"/>
      <c r="G106" s="570"/>
      <c r="H106" s="570"/>
      <c r="I106" s="570"/>
    </row>
    <row r="107" spans="1:9" x14ac:dyDescent="0.25">
      <c r="A107" s="431"/>
      <c r="B107" s="431"/>
      <c r="C107" s="431"/>
      <c r="D107" s="431"/>
      <c r="E107" s="431"/>
      <c r="F107" s="431"/>
      <c r="G107" s="431"/>
      <c r="H107" s="431"/>
      <c r="I107" s="431"/>
    </row>
    <row r="108" spans="1:9" x14ac:dyDescent="0.25">
      <c r="A108" s="81" t="s">
        <v>427</v>
      </c>
      <c r="C108" s="43"/>
      <c r="D108" s="69"/>
      <c r="E108" s="43" t="s">
        <v>32</v>
      </c>
      <c r="F108" s="571"/>
      <c r="G108" s="571"/>
      <c r="H108" s="571"/>
      <c r="I108" s="571"/>
    </row>
    <row r="109" spans="1:9" x14ac:dyDescent="0.25">
      <c r="B109" s="69"/>
      <c r="C109" s="88" t="s">
        <v>360</v>
      </c>
      <c r="D109" s="332" t="s">
        <v>361</v>
      </c>
      <c r="E109" s="89" t="s">
        <v>107</v>
      </c>
      <c r="F109" s="43"/>
      <c r="G109" s="43"/>
      <c r="H109" s="43"/>
      <c r="I109" s="43"/>
    </row>
    <row r="110" spans="1:9" x14ac:dyDescent="0.25">
      <c r="B110" s="69"/>
      <c r="C110" s="323" t="s">
        <v>2</v>
      </c>
      <c r="D110" s="323" t="s">
        <v>2</v>
      </c>
      <c r="E110" s="90" t="s">
        <v>2</v>
      </c>
      <c r="F110" s="43"/>
      <c r="G110" s="43"/>
      <c r="H110" s="43"/>
      <c r="I110" s="43"/>
    </row>
    <row r="111" spans="1:9" x14ac:dyDescent="0.25">
      <c r="A111" s="572" t="s">
        <v>381</v>
      </c>
      <c r="B111" s="573"/>
      <c r="C111" s="143">
        <f>SUM('1461:4131'!C113)</f>
        <v>4411</v>
      </c>
      <c r="D111" s="143">
        <f>SUM('1461:4131'!D113)</f>
        <v>4433</v>
      </c>
      <c r="E111" s="116">
        <f>SUM('1461:4131'!E113)</f>
        <v>4422</v>
      </c>
      <c r="F111" s="126" t="s">
        <v>30</v>
      </c>
      <c r="G111" s="291">
        <f>'1461'!G113</f>
        <v>567</v>
      </c>
      <c r="I111" s="101">
        <f>SUM('1461:4131'!I113)</f>
        <v>2507274</v>
      </c>
    </row>
    <row r="112" spans="1:9" x14ac:dyDescent="0.25">
      <c r="A112" s="572" t="s">
        <v>382</v>
      </c>
      <c r="B112" s="573"/>
      <c r="C112" s="143">
        <f>SUM('1461:4131'!C114)</f>
        <v>4</v>
      </c>
      <c r="D112" s="143">
        <f>SUM('1461:4131'!D114)</f>
        <v>1</v>
      </c>
      <c r="E112" s="116">
        <f>SUM('1461:4131'!E114)</f>
        <v>2.5</v>
      </c>
      <c r="F112" s="126" t="s">
        <v>30</v>
      </c>
      <c r="G112" s="291">
        <f>'1461'!G114</f>
        <v>1821</v>
      </c>
      <c r="I112" s="101">
        <f>SUM('1461:4131'!I114)</f>
        <v>4552.5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99" t="s">
        <v>428</v>
      </c>
      <c r="B115" s="593"/>
      <c r="C115" s="593"/>
      <c r="D115" s="69"/>
      <c r="E115" s="39" t="s">
        <v>300</v>
      </c>
      <c r="F115" s="578"/>
      <c r="G115" s="578"/>
      <c r="H115" s="578"/>
      <c r="I115" s="578"/>
    </row>
    <row r="116" spans="1:10" hidden="1" x14ac:dyDescent="0.25">
      <c r="B116" s="69"/>
      <c r="C116" s="579" t="s">
        <v>66</v>
      </c>
      <c r="D116" s="579"/>
      <c r="E116" s="579"/>
      <c r="F116" s="37"/>
      <c r="G116" s="37"/>
      <c r="H116" s="39" t="s">
        <v>108</v>
      </c>
      <c r="I116" s="37"/>
    </row>
    <row r="117" spans="1:10" hidden="1" x14ac:dyDescent="0.25">
      <c r="B117" s="69"/>
      <c r="C117" s="88" t="str">
        <f>C109</f>
        <v>Oct 2022</v>
      </c>
      <c r="D117" s="88" t="str">
        <f>D109</f>
        <v>Feb 2023</v>
      </c>
      <c r="E117" s="137" t="s">
        <v>8</v>
      </c>
      <c r="F117" s="580" t="s">
        <v>109</v>
      </c>
      <c r="G117" s="578"/>
      <c r="H117" s="37" t="s">
        <v>29</v>
      </c>
      <c r="I117" s="37"/>
    </row>
    <row r="118" spans="1:10" ht="15.75" hidden="1" customHeight="1" x14ac:dyDescent="0.25">
      <c r="A118" s="579" t="s">
        <v>69</v>
      </c>
      <c r="B118" s="579"/>
      <c r="C118" s="90" t="s">
        <v>2</v>
      </c>
      <c r="D118" s="90" t="s">
        <v>2</v>
      </c>
      <c r="E118" s="59" t="s">
        <v>2</v>
      </c>
      <c r="F118" s="579" t="s">
        <v>28</v>
      </c>
      <c r="G118" s="579"/>
      <c r="H118" s="59" t="s">
        <v>28</v>
      </c>
      <c r="I118" s="59" t="s">
        <v>8</v>
      </c>
    </row>
    <row r="119" spans="1:10" ht="15.75" hidden="1" customHeight="1" x14ac:dyDescent="0.25">
      <c r="A119" s="576" t="s">
        <v>56</v>
      </c>
      <c r="B119" s="576"/>
      <c r="C119" s="141">
        <v>0</v>
      </c>
      <c r="D119" s="141">
        <v>0</v>
      </c>
      <c r="E119" s="187">
        <f>IF(D31=0,C119*2,C119+D119)</f>
        <v>0</v>
      </c>
      <c r="F119" s="577">
        <v>0</v>
      </c>
      <c r="G119" s="577"/>
      <c r="H119" s="223">
        <f>IF(C119=0,0,125)</f>
        <v>0</v>
      </c>
      <c r="I119" s="101">
        <f>ROUND((H119+F119)*E119,2)</f>
        <v>0</v>
      </c>
    </row>
    <row r="120" spans="1:10" ht="15.75" hidden="1" customHeight="1" x14ac:dyDescent="0.25">
      <c r="A120" s="596" t="s">
        <v>57</v>
      </c>
      <c r="B120" s="596"/>
      <c r="C120" s="143">
        <v>0</v>
      </c>
      <c r="D120" s="143">
        <v>0</v>
      </c>
      <c r="E120" s="116">
        <f>IF(D32=0,C120*2,C120+D120)</f>
        <v>0</v>
      </c>
      <c r="F120" s="613">
        <f>ROUND(F119/2,2)</f>
        <v>0</v>
      </c>
      <c r="G120" s="613"/>
      <c r="H120" s="223">
        <f>IF(C120=0,0,62.5)</f>
        <v>0</v>
      </c>
      <c r="I120" s="101">
        <f>ROUND((H120+F120)*E120,2)</f>
        <v>0</v>
      </c>
    </row>
    <row r="121" spans="1:10" ht="15.75" hidden="1" customHeight="1" x14ac:dyDescent="0.25">
      <c r="A121" s="596" t="s">
        <v>58</v>
      </c>
      <c r="B121" s="596"/>
      <c r="C121" s="143">
        <v>0</v>
      </c>
      <c r="D121" s="143">
        <v>0</v>
      </c>
      <c r="E121" s="116">
        <f>IF(D33=0,C121*2,C121+D121)</f>
        <v>0</v>
      </c>
      <c r="F121" s="614"/>
      <c r="G121" s="614"/>
      <c r="H121" s="224">
        <f>IF(H119&gt;0,436,0)</f>
        <v>0</v>
      </c>
      <c r="I121" s="101">
        <f>ROUND(H121*E121,2)</f>
        <v>0</v>
      </c>
    </row>
    <row r="122" spans="1:10" ht="16.5" hidden="1" customHeight="1" x14ac:dyDescent="0.25">
      <c r="A122" s="578" t="s">
        <v>8</v>
      </c>
      <c r="B122" s="578"/>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99" t="s">
        <v>430</v>
      </c>
      <c r="B124" s="593"/>
      <c r="C124" s="593"/>
      <c r="D124" s="69"/>
      <c r="E124" s="68" t="s">
        <v>34</v>
      </c>
      <c r="F124" s="612"/>
      <c r="G124" s="612"/>
      <c r="H124" s="612"/>
      <c r="I124" s="154">
        <f>SUM('1461:4131'!I126)</f>
        <v>0</v>
      </c>
    </row>
    <row r="125" spans="1:10" x14ac:dyDescent="0.25">
      <c r="B125" s="69"/>
      <c r="C125" s="69"/>
      <c r="D125" s="69"/>
      <c r="E125" s="68"/>
      <c r="F125" s="68"/>
      <c r="G125" s="68"/>
      <c r="H125" s="68"/>
      <c r="I125" s="116"/>
    </row>
    <row r="126" spans="1:10" x14ac:dyDescent="0.25">
      <c r="A126" s="605" t="s">
        <v>8</v>
      </c>
      <c r="B126" s="605"/>
      <c r="C126" s="605"/>
      <c r="D126" s="605"/>
      <c r="E126" s="605"/>
      <c r="F126" s="605"/>
      <c r="G126" s="605"/>
      <c r="H126" s="605"/>
      <c r="I126" s="94">
        <f>SUM('1461:4131'!I128)</f>
        <v>209153525.41000006</v>
      </c>
      <c r="J126" s="250"/>
    </row>
    <row r="127" spans="1:10" x14ac:dyDescent="0.25">
      <c r="A127" s="26"/>
      <c r="B127" s="26"/>
      <c r="C127" s="26"/>
      <c r="D127" s="26"/>
      <c r="E127" s="26"/>
      <c r="F127" s="26"/>
      <c r="G127" s="26"/>
      <c r="H127" s="26"/>
      <c r="I127" s="101"/>
      <c r="J127" s="250"/>
    </row>
    <row r="128" spans="1:10" x14ac:dyDescent="0.25">
      <c r="A128" s="81" t="s">
        <v>462</v>
      </c>
      <c r="B128" s="26"/>
      <c r="C128" s="26"/>
      <c r="D128" s="26"/>
      <c r="E128" s="26"/>
      <c r="F128" s="26"/>
      <c r="G128" s="26"/>
      <c r="H128" s="26"/>
      <c r="I128" s="101">
        <f>SUM('1461:4131'!I130)</f>
        <v>199769506.41</v>
      </c>
      <c r="J128" s="250"/>
    </row>
    <row r="129" spans="1:13" x14ac:dyDescent="0.25">
      <c r="A129" s="26"/>
      <c r="B129" s="26"/>
      <c r="C129" s="26"/>
      <c r="D129" s="26"/>
      <c r="E129" s="26"/>
      <c r="F129" s="26"/>
      <c r="G129" s="26"/>
      <c r="H129" s="26"/>
      <c r="I129" s="101"/>
      <c r="J129" s="250"/>
    </row>
    <row r="130" spans="1:13" x14ac:dyDescent="0.25">
      <c r="A130" s="599" t="s">
        <v>463</v>
      </c>
      <c r="B130" s="593"/>
      <c r="C130" s="593"/>
      <c r="D130" s="593"/>
      <c r="E130" s="593"/>
      <c r="F130" s="593"/>
      <c r="G130" s="593"/>
      <c r="H130" s="81" t="s">
        <v>333</v>
      </c>
      <c r="I130" s="134"/>
      <c r="J130" s="250"/>
    </row>
    <row r="131" spans="1:13" x14ac:dyDescent="0.25">
      <c r="A131" s="593" t="s">
        <v>70</v>
      </c>
      <c r="B131" s="593"/>
      <c r="C131" s="593"/>
      <c r="D131" s="593"/>
      <c r="E131" s="593"/>
      <c r="F131" s="593"/>
      <c r="G131" s="593"/>
      <c r="H131" s="70"/>
      <c r="I131" s="116">
        <f>SUM('1461:4131'!I130)</f>
        <v>199769506.41</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199769506.41</v>
      </c>
      <c r="I133" s="94">
        <f>SUM('1461:4131'!I135)</f>
        <v>-3299160.2399999993</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SUM('1461:4131'!I137)</f>
        <v>205854365.17000002</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SUM('1461:4131'!I139)</f>
        <v>-34096060.06000001</v>
      </c>
    </row>
    <row r="138" spans="1:13" x14ac:dyDescent="0.25">
      <c r="B138" s="69"/>
      <c r="C138" s="69"/>
      <c r="D138" s="69"/>
      <c r="E138" s="69"/>
      <c r="F138" s="69"/>
      <c r="G138" s="69"/>
      <c r="H138" s="65"/>
      <c r="I138" s="101"/>
    </row>
    <row r="139" spans="1:13" x14ac:dyDescent="0.25">
      <c r="A139" s="3" t="s">
        <v>247</v>
      </c>
      <c r="B139" s="69"/>
      <c r="C139" s="69"/>
      <c r="D139" s="69"/>
      <c r="E139" s="69"/>
      <c r="F139" s="69"/>
      <c r="G139" s="69"/>
      <c r="H139" s="65"/>
      <c r="I139" s="101">
        <f>SUM('1461:4131'!I141)</f>
        <v>171758305.10999998</v>
      </c>
    </row>
    <row r="140" spans="1:13" x14ac:dyDescent="0.25">
      <c r="A140" s="3"/>
      <c r="B140" s="69"/>
      <c r="C140" s="69"/>
      <c r="D140" s="69"/>
      <c r="E140" s="69"/>
      <c r="F140" s="69"/>
      <c r="G140" s="69"/>
      <c r="H140" s="65"/>
      <c r="I140" s="101"/>
    </row>
    <row r="141" spans="1:13" x14ac:dyDescent="0.25">
      <c r="A141" s="3" t="s">
        <v>248</v>
      </c>
      <c r="B141" s="69"/>
      <c r="C141" s="69"/>
      <c r="D141" s="69"/>
      <c r="E141" s="69"/>
      <c r="F141" s="69"/>
      <c r="G141" s="69"/>
      <c r="H141" s="65"/>
      <c r="I141" s="272">
        <f>'1461'!I143</f>
        <v>10</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SUM('1461:4131'!I145)-'4102'!I145</f>
        <v>17074744.390000001</v>
      </c>
      <c r="K143" s="417"/>
      <c r="L143" s="417"/>
      <c r="M143" s="417"/>
    </row>
    <row r="144" spans="1:13" s="135" customFormat="1" ht="16.5" thickTop="1" x14ac:dyDescent="0.25">
      <c r="A144" s="424"/>
      <c r="B144" s="424"/>
      <c r="C144" s="425"/>
      <c r="D144" s="426"/>
      <c r="E144" s="427"/>
      <c r="F144" s="222"/>
      <c r="G144" s="428"/>
      <c r="H144" s="429"/>
      <c r="I144" s="423"/>
    </row>
    <row r="145" spans="1:8" x14ac:dyDescent="0.25">
      <c r="A145" s="574" t="s">
        <v>7</v>
      </c>
      <c r="B145" s="574"/>
      <c r="C145" s="574"/>
      <c r="D145" s="574"/>
      <c r="E145" s="574"/>
      <c r="F145" s="574"/>
      <c r="G145" s="574"/>
      <c r="H145" s="574"/>
    </row>
    <row r="146" spans="1:8" ht="26.25" customHeight="1" x14ac:dyDescent="0.25">
      <c r="A146" s="575" t="s">
        <v>464</v>
      </c>
      <c r="B146" s="575"/>
      <c r="C146" s="575"/>
      <c r="D146" s="575"/>
      <c r="E146" s="575"/>
      <c r="F146" s="575"/>
      <c r="G146" s="575"/>
      <c r="H146" s="575"/>
    </row>
    <row r="147" spans="1:8" x14ac:dyDescent="0.25">
      <c r="A147" s="574" t="s">
        <v>373</v>
      </c>
      <c r="B147" s="574"/>
      <c r="C147" s="574"/>
      <c r="D147" s="574"/>
      <c r="E147" s="574"/>
      <c r="F147" s="574"/>
      <c r="G147" s="574"/>
      <c r="H147" s="574"/>
    </row>
    <row r="148" spans="1:8" x14ac:dyDescent="0.25">
      <c r="A148" s="574" t="s">
        <v>374</v>
      </c>
      <c r="B148" s="574"/>
      <c r="C148" s="574"/>
      <c r="D148" s="574"/>
      <c r="E148" s="574"/>
      <c r="F148" s="574"/>
      <c r="G148" s="574"/>
      <c r="H148" s="574"/>
    </row>
    <row r="149" spans="1:8" x14ac:dyDescent="0.25">
      <c r="A149" s="574" t="s">
        <v>375</v>
      </c>
      <c r="B149" s="574"/>
      <c r="C149" s="574"/>
      <c r="D149" s="574"/>
      <c r="E149" s="574"/>
      <c r="F149" s="574"/>
      <c r="G149" s="574"/>
      <c r="H149" s="574"/>
    </row>
    <row r="150" spans="1:8" x14ac:dyDescent="0.25">
      <c r="A150" s="574" t="s">
        <v>376</v>
      </c>
      <c r="B150" s="574"/>
      <c r="C150" s="574"/>
      <c r="D150" s="574"/>
      <c r="E150" s="574"/>
      <c r="F150" s="574"/>
      <c r="G150" s="574"/>
      <c r="H150" s="574"/>
    </row>
    <row r="151" spans="1:8" x14ac:dyDescent="0.25">
      <c r="A151" s="574" t="s">
        <v>377</v>
      </c>
      <c r="B151" s="574"/>
      <c r="C151" s="574"/>
      <c r="D151" s="574"/>
      <c r="E151" s="574"/>
      <c r="F151" s="574"/>
      <c r="G151" s="574"/>
      <c r="H151" s="574"/>
    </row>
    <row r="152" spans="1:8" ht="26.25" customHeight="1" x14ac:dyDescent="0.25">
      <c r="A152" s="607" t="s">
        <v>465</v>
      </c>
      <c r="B152" s="607"/>
      <c r="C152" s="607"/>
      <c r="D152" s="607"/>
      <c r="E152" s="607"/>
      <c r="F152" s="607"/>
      <c r="G152" s="607"/>
      <c r="H152" s="607"/>
    </row>
    <row r="153" spans="1:8" ht="26.25" customHeight="1" x14ac:dyDescent="0.25">
      <c r="A153" s="575" t="s">
        <v>466</v>
      </c>
      <c r="B153" s="575"/>
      <c r="C153" s="575"/>
      <c r="D153" s="575"/>
      <c r="E153" s="575"/>
      <c r="F153" s="575"/>
      <c r="G153" s="575"/>
      <c r="H153" s="575"/>
    </row>
    <row r="154" spans="1:8" ht="26.25" customHeight="1" x14ac:dyDescent="0.25">
      <c r="A154" s="575" t="s">
        <v>383</v>
      </c>
      <c r="B154" s="575"/>
      <c r="C154" s="575"/>
      <c r="D154" s="575"/>
      <c r="E154" s="575"/>
      <c r="F154" s="575"/>
      <c r="G154" s="575"/>
      <c r="H154" s="575"/>
    </row>
    <row r="155" spans="1:8" ht="16.5" customHeight="1" x14ac:dyDescent="0.25">
      <c r="A155" s="491" t="s">
        <v>288</v>
      </c>
      <c r="B155" s="491"/>
      <c r="C155" s="491"/>
      <c r="D155" s="491"/>
      <c r="E155" s="491"/>
      <c r="F155" s="491"/>
      <c r="G155" s="491"/>
      <c r="H155" s="491"/>
    </row>
    <row r="156" spans="1:8" ht="26.25" customHeight="1" x14ac:dyDescent="0.25">
      <c r="A156" s="607" t="s">
        <v>467</v>
      </c>
      <c r="B156" s="607"/>
      <c r="C156" s="607"/>
      <c r="D156" s="607"/>
      <c r="E156" s="607"/>
      <c r="F156" s="607"/>
      <c r="G156" s="607"/>
      <c r="H156" s="607"/>
    </row>
    <row r="157" spans="1:8" ht="26.25" customHeight="1" x14ac:dyDescent="0.25">
      <c r="A157" s="607" t="s">
        <v>468</v>
      </c>
      <c r="B157" s="607"/>
      <c r="C157" s="607"/>
      <c r="D157" s="607"/>
      <c r="E157" s="607"/>
      <c r="F157" s="607"/>
      <c r="G157" s="607"/>
      <c r="H157" s="607"/>
    </row>
    <row r="158" spans="1:8" x14ac:dyDescent="0.25">
      <c r="A158" s="606" t="s">
        <v>67</v>
      </c>
      <c r="B158" s="607"/>
      <c r="C158" s="607"/>
      <c r="D158" s="607"/>
      <c r="E158" s="607"/>
      <c r="F158" s="607"/>
      <c r="G158" s="607"/>
      <c r="H158" s="607"/>
    </row>
    <row r="159" spans="1:8" ht="54.75" customHeight="1" x14ac:dyDescent="0.25">
      <c r="A159" s="608" t="s">
        <v>469</v>
      </c>
      <c r="B159" s="608"/>
      <c r="C159" s="608"/>
      <c r="D159" s="608"/>
      <c r="E159" s="608"/>
      <c r="F159" s="608"/>
      <c r="G159" s="608"/>
      <c r="H159" s="608"/>
    </row>
    <row r="160" spans="1:8" ht="42.75" customHeight="1" x14ac:dyDescent="0.25">
      <c r="A160" s="608" t="s">
        <v>470</v>
      </c>
      <c r="B160" s="608"/>
      <c r="C160" s="608"/>
      <c r="D160" s="608"/>
      <c r="E160" s="608"/>
      <c r="F160" s="608"/>
      <c r="G160" s="608"/>
      <c r="H160" s="608"/>
    </row>
    <row r="161" spans="1:8" x14ac:dyDescent="0.25">
      <c r="A161" s="492"/>
      <c r="B161" s="492"/>
      <c r="C161" s="492"/>
      <c r="D161" s="492"/>
      <c r="E161" s="492"/>
      <c r="F161" s="492"/>
      <c r="G161" s="492"/>
      <c r="H161" s="492"/>
    </row>
    <row r="162" spans="1:8" x14ac:dyDescent="0.25">
      <c r="A162" s="609" t="s">
        <v>68</v>
      </c>
      <c r="B162" s="609"/>
      <c r="C162" s="609"/>
      <c r="D162" s="609"/>
      <c r="E162" s="609"/>
      <c r="F162" s="609"/>
      <c r="G162" s="609"/>
      <c r="H162" s="609"/>
    </row>
    <row r="163" spans="1:8" ht="26.25" customHeight="1" x14ac:dyDescent="0.25">
      <c r="A163" s="608" t="s">
        <v>471</v>
      </c>
      <c r="B163" s="608"/>
      <c r="C163" s="608"/>
      <c r="D163" s="608"/>
      <c r="E163" s="608"/>
      <c r="F163" s="608"/>
      <c r="G163" s="608"/>
      <c r="H163" s="608"/>
    </row>
    <row r="164" spans="1:8" x14ac:dyDescent="0.25">
      <c r="A164" s="610" t="s">
        <v>11</v>
      </c>
      <c r="B164" s="610"/>
      <c r="C164" s="610"/>
      <c r="D164" s="610"/>
      <c r="E164" s="610"/>
      <c r="F164" s="610"/>
      <c r="G164" s="610"/>
      <c r="H164" s="610"/>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128</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54.37</v>
      </c>
      <c r="D14" s="141">
        <v>52.92</v>
      </c>
      <c r="E14" s="187">
        <f>IF(D$30=0,C14*2,C14+D14)</f>
        <v>107.28999999999999</v>
      </c>
      <c r="F14" s="682">
        <f>'1461'!F14:G14</f>
        <v>1.1180000000000001</v>
      </c>
      <c r="G14" s="682"/>
      <c r="H14" s="145">
        <f>ROUND(E14*F14,4)</f>
        <v>119.9502</v>
      </c>
      <c r="I14" s="111">
        <f>ROUND(ROUND(ROUND(H14*$C$8,4)*($H$8),2)*(MAX($H$9,1)),2)</f>
        <v>665541.76</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5.5</v>
      </c>
      <c r="D15" s="143">
        <v>6.5</v>
      </c>
      <c r="E15" s="116">
        <f t="shared" ref="E15:E29" si="1">IF(D$30=0,C15*2,C15+D15)</f>
        <v>12</v>
      </c>
      <c r="F15" s="678">
        <f>'1461'!F15:G15</f>
        <v>1.1180000000000001</v>
      </c>
      <c r="G15" s="678"/>
      <c r="H15" s="80">
        <f t="shared" ref="H15:H29" si="2">ROUND(E15*F15,4)</f>
        <v>13.416</v>
      </c>
      <c r="I15" s="101">
        <f t="shared" ref="I15:I29" si="3">ROUND(ROUND(ROUND(H15*$C$8,4)*($H$8),2)*(MAX($H$9,1)),2)</f>
        <v>74438.460000000006</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84.26</v>
      </c>
      <c r="D16" s="143">
        <v>84.89</v>
      </c>
      <c r="E16" s="116">
        <f t="shared" si="1"/>
        <v>169.15</v>
      </c>
      <c r="F16" s="678">
        <f>'1461'!F16:G16</f>
        <v>1</v>
      </c>
      <c r="G16" s="678"/>
      <c r="H16" s="80">
        <f t="shared" si="2"/>
        <v>169.15</v>
      </c>
      <c r="I16" s="101">
        <f t="shared" si="3"/>
        <v>938526.07</v>
      </c>
      <c r="N16" s="616" t="s">
        <v>22</v>
      </c>
      <c r="O16" s="616"/>
      <c r="P16" s="657">
        <f t="shared" si="0"/>
        <v>0</v>
      </c>
      <c r="Q16" s="657"/>
      <c r="R16" s="662">
        <v>1</v>
      </c>
      <c r="S16" s="662"/>
      <c r="T16" s="95">
        <f t="shared" si="4"/>
        <v>0</v>
      </c>
      <c r="U16" s="472">
        <f t="shared" si="5"/>
        <v>0</v>
      </c>
    </row>
    <row r="17" spans="1:21" x14ac:dyDescent="0.25">
      <c r="A17" s="593" t="s">
        <v>23</v>
      </c>
      <c r="B17" s="593"/>
      <c r="C17" s="143">
        <v>13</v>
      </c>
      <c r="D17" s="143">
        <v>12</v>
      </c>
      <c r="E17" s="116">
        <f t="shared" si="1"/>
        <v>25</v>
      </c>
      <c r="F17" s="678">
        <f>'1461'!F17:G17</f>
        <v>1</v>
      </c>
      <c r="G17" s="678"/>
      <c r="H17" s="80">
        <f t="shared" si="2"/>
        <v>25</v>
      </c>
      <c r="I17" s="101">
        <f t="shared" si="3"/>
        <v>138712.1</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3.13</v>
      </c>
      <c r="D26" s="143">
        <v>2.69</v>
      </c>
      <c r="E26" s="116">
        <f t="shared" si="1"/>
        <v>5.82</v>
      </c>
      <c r="F26" s="678">
        <f>'1461'!F26:G26</f>
        <v>1.1919999999999999</v>
      </c>
      <c r="G26" s="678"/>
      <c r="H26" s="80">
        <f t="shared" si="2"/>
        <v>6.9374000000000002</v>
      </c>
      <c r="I26" s="101">
        <f t="shared" si="3"/>
        <v>38492.050000000003</v>
      </c>
      <c r="N26" s="616" t="s">
        <v>85</v>
      </c>
      <c r="O26" s="616"/>
      <c r="P26" s="657">
        <f t="shared" si="0"/>
        <v>0</v>
      </c>
      <c r="Q26" s="657"/>
      <c r="R26" s="662">
        <v>1</v>
      </c>
      <c r="S26" s="662"/>
      <c r="T26" s="95">
        <f t="shared" si="4"/>
        <v>0</v>
      </c>
      <c r="U26" s="472">
        <f t="shared" si="5"/>
        <v>0</v>
      </c>
    </row>
    <row r="27" spans="1:21" x14ac:dyDescent="0.25">
      <c r="A27" s="593" t="s">
        <v>86</v>
      </c>
      <c r="B27" s="593"/>
      <c r="C27" s="143">
        <v>3.45</v>
      </c>
      <c r="D27" s="143">
        <v>3.4</v>
      </c>
      <c r="E27" s="116">
        <f t="shared" si="1"/>
        <v>6.85</v>
      </c>
      <c r="F27" s="678">
        <f>'1461'!F27:G27</f>
        <v>1.1919999999999999</v>
      </c>
      <c r="G27" s="678"/>
      <c r="H27" s="80">
        <f t="shared" si="2"/>
        <v>8.1652000000000005</v>
      </c>
      <c r="I27" s="101">
        <f t="shared" si="3"/>
        <v>45304.480000000003</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163.70999999999998</v>
      </c>
      <c r="D30" s="94">
        <f>SUM(D14:D29)</f>
        <v>162.4</v>
      </c>
      <c r="E30" s="94">
        <f>SUM(E14:E29)</f>
        <v>326.11</v>
      </c>
      <c r="F30" s="597"/>
      <c r="G30" s="597"/>
      <c r="H30" s="99">
        <f>SUM(H14:H29)</f>
        <v>342.61880000000008</v>
      </c>
      <c r="I30" s="94">
        <f>SUM(I14:I29)</f>
        <v>1901014.9200000002</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342.61880000000008</v>
      </c>
      <c r="F46" s="34"/>
      <c r="G46" s="106"/>
      <c r="H46" s="107" t="s">
        <v>98</v>
      </c>
      <c r="I46" s="94">
        <f>SUM(I44,I30)</f>
        <v>1901014.9200000002</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 t="s">
        <v>514</v>
      </c>
      <c r="C51" s="26"/>
      <c r="D51" s="26"/>
      <c r="E51" s="43" t="s">
        <v>399</v>
      </c>
      <c r="F51" s="399">
        <v>1901014.9200000002</v>
      </c>
      <c r="G51" s="109" t="s">
        <v>6</v>
      </c>
      <c r="H51" s="400">
        <v>5.5899999999999998E-2</v>
      </c>
      <c r="I51" s="101">
        <f>ROUND(F51*H51,2)</f>
        <v>106266.73</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1901014.9200000002</v>
      </c>
      <c r="G52" s="109" t="s">
        <v>6</v>
      </c>
      <c r="H52" s="400">
        <v>1.0699999999999999E-2</v>
      </c>
      <c r="I52" s="101">
        <f>ROUND(F52*H52,2)</f>
        <v>20340.86</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126607.59</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5</v>
      </c>
      <c r="D57" s="143">
        <v>5.08</v>
      </c>
      <c r="E57" s="116">
        <f t="shared" ref="E57:E65" si="10">IF(D$66=0,C57*2,C57+D57)</f>
        <v>10.08</v>
      </c>
      <c r="F57" s="442" t="s">
        <v>437</v>
      </c>
      <c r="G57" s="442">
        <v>251</v>
      </c>
      <c r="H57" s="456">
        <f>'1461'!H57</f>
        <v>1047</v>
      </c>
      <c r="I57" s="101">
        <f>ROUND(E57*H57,2)</f>
        <v>10553.76</v>
      </c>
      <c r="N57" s="633" t="s">
        <v>445</v>
      </c>
      <c r="O57" s="633"/>
      <c r="P57" s="636"/>
      <c r="Q57" s="636"/>
      <c r="R57" s="448" t="s">
        <v>437</v>
      </c>
      <c r="S57" s="448">
        <v>251</v>
      </c>
      <c r="T57" s="459">
        <f>H57</f>
        <v>1047</v>
      </c>
      <c r="U57" s="473">
        <f>ROUND(P57*T57,2)</f>
        <v>0</v>
      </c>
      <c r="V57" s="423"/>
    </row>
    <row r="58" spans="1:22" x14ac:dyDescent="0.25">
      <c r="A58" s="604"/>
      <c r="B58" s="604"/>
      <c r="C58" s="143">
        <v>0.5</v>
      </c>
      <c r="D58" s="143">
        <v>1.42</v>
      </c>
      <c r="E58" s="116">
        <f t="shared" si="10"/>
        <v>1.92</v>
      </c>
      <c r="F58" s="442" t="s">
        <v>437</v>
      </c>
      <c r="G58" s="442">
        <v>252</v>
      </c>
      <c r="H58" s="456">
        <f>'1461'!H58</f>
        <v>3380</v>
      </c>
      <c r="I58" s="101">
        <f t="shared" ref="I58:I65" si="11">ROUND(E58*H58,2)</f>
        <v>6489.6</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12</v>
      </c>
      <c r="D60" s="143">
        <v>11.09</v>
      </c>
      <c r="E60" s="116">
        <f t="shared" si="10"/>
        <v>23.09</v>
      </c>
      <c r="F60" s="443" t="s">
        <v>13</v>
      </c>
      <c r="G60" s="442">
        <v>251</v>
      </c>
      <c r="H60" s="456">
        <f>'1461'!H60</f>
        <v>1173</v>
      </c>
      <c r="I60" s="101">
        <f t="shared" si="11"/>
        <v>27084.57</v>
      </c>
      <c r="N60" s="634"/>
      <c r="O60" s="634"/>
      <c r="P60" s="637"/>
      <c r="Q60" s="637"/>
      <c r="R60" s="40" t="s">
        <v>13</v>
      </c>
      <c r="S60" s="448">
        <v>251</v>
      </c>
      <c r="T60" s="459">
        <f t="shared" si="12"/>
        <v>1173</v>
      </c>
      <c r="U60" s="473">
        <f t="shared" si="13"/>
        <v>0</v>
      </c>
      <c r="V60" s="423"/>
    </row>
    <row r="61" spans="1:22" x14ac:dyDescent="0.25">
      <c r="A61" s="604"/>
      <c r="B61" s="604"/>
      <c r="C61" s="143">
        <v>1</v>
      </c>
      <c r="D61" s="143">
        <v>0.91</v>
      </c>
      <c r="E61" s="116">
        <f t="shared" si="10"/>
        <v>1.9100000000000001</v>
      </c>
      <c r="F61" s="443" t="s">
        <v>13</v>
      </c>
      <c r="G61" s="442">
        <v>252</v>
      </c>
      <c r="H61" s="456">
        <f>'1461'!H61</f>
        <v>3506</v>
      </c>
      <c r="I61" s="101">
        <f t="shared" si="11"/>
        <v>6696.46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18.5</v>
      </c>
      <c r="D66" s="97">
        <f>SUM(D57:D65)</f>
        <v>18.5</v>
      </c>
      <c r="E66" s="97">
        <f>SUM(E57:E65)</f>
        <v>37</v>
      </c>
      <c r="F66" s="605" t="s">
        <v>446</v>
      </c>
      <c r="G66" s="605"/>
      <c r="H66" s="605"/>
      <c r="I66" s="97">
        <f>SUM(I57:I65)</f>
        <v>50824.39</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326.11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1.5510000000000001E-3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342.61880000000008</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1.459E-3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326.11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1.738E-3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326.11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1.554E-3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326.11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1.7409999999999999E-3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1.554E-3</v>
      </c>
      <c r="I85" s="101">
        <f>ROUND(F85*H85,2)</f>
        <v>71738.399999999994</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1.5510000000000001E-3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1.7409999999999999E-3</v>
      </c>
      <c r="I90" s="101">
        <f>ROUND(F90*H90,2)</f>
        <v>33152.17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1.738E-3</v>
      </c>
      <c r="I92" s="101">
        <f t="shared" ref="I92:I96" si="14">ROUND(F92*H92,2)</f>
        <v>19884.72</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1.459E-3</v>
      </c>
      <c r="I94" s="101">
        <f t="shared" si="14"/>
        <v>373149.19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1.459E-3</v>
      </c>
      <c r="I96" s="101">
        <f t="shared" si="14"/>
        <v>-2313.33</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1.5510000000000001E-3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140.30359999999999</v>
      </c>
      <c r="D104" s="611"/>
      <c r="E104" s="46">
        <f>H8</f>
        <v>1.0407999999999999</v>
      </c>
      <c r="F104" s="302">
        <f>'1461'!F104</f>
        <v>950.92</v>
      </c>
      <c r="G104" s="39" t="s">
        <v>12</v>
      </c>
      <c r="H104" s="101">
        <f>ROUND(C104*E104*F104,2)</f>
        <v>138860.93</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202.3152</v>
      </c>
      <c r="D105" s="611"/>
      <c r="E105" s="46">
        <f>H8</f>
        <v>1.0407999999999999</v>
      </c>
      <c r="F105" s="302">
        <f>'1461'!F105</f>
        <v>907.92</v>
      </c>
      <c r="G105" s="39" t="s">
        <v>12</v>
      </c>
      <c r="H105" s="101">
        <f>ROUND(C105*E105*F105,2)</f>
        <v>191180.41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342.61879999999996</v>
      </c>
      <c r="D107" s="601"/>
      <c r="E107" s="123"/>
      <c r="F107" s="123"/>
      <c r="G107" s="123"/>
      <c r="H107" s="124" t="s">
        <v>100</v>
      </c>
      <c r="I107" s="101">
        <f>IF(A1=75,0,H106+H105+H104)</f>
        <v>330041.33999999997</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(C113+D113)/2</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2777491.8</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2650884.21</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2650884.21</v>
      </c>
      <c r="I135" s="94">
        <f>ROUND(IF(E30=0,0,IF(E30&gt;250,-(((250/E30)*H135)*IF(G135="H",0.02,0.05)),IF(G135="H",-0.02*H135,-0.05*H135))),2)</f>
        <v>-101610.05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2675881.75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-455354.26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2220527.4900000002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222052.75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30934.16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325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245.98</v>
      </c>
      <c r="D18" s="143">
        <v>268.41000000000003</v>
      </c>
      <c r="E18" s="116">
        <f t="shared" si="1"/>
        <v>514.39</v>
      </c>
      <c r="F18" s="678">
        <f>'1461'!F18:G18</f>
        <v>0.97799999999999998</v>
      </c>
      <c r="G18" s="678"/>
      <c r="H18" s="80">
        <f t="shared" si="2"/>
        <v>503.07339999999999</v>
      </c>
      <c r="I18" s="101">
        <f t="shared" si="3"/>
        <v>2791294.7</v>
      </c>
      <c r="N18" s="616" t="s">
        <v>24</v>
      </c>
      <c r="O18" s="616"/>
      <c r="P18" s="657">
        <f t="shared" si="0"/>
        <v>0</v>
      </c>
      <c r="Q18" s="657"/>
      <c r="R18" s="662">
        <v>1</v>
      </c>
      <c r="S18" s="662"/>
      <c r="T18" s="95">
        <f t="shared" si="4"/>
        <v>0</v>
      </c>
      <c r="U18" s="472">
        <f t="shared" si="5"/>
        <v>0</v>
      </c>
    </row>
    <row r="19" spans="1:21" x14ac:dyDescent="0.25">
      <c r="A19" s="593" t="s">
        <v>25</v>
      </c>
      <c r="B19" s="593"/>
      <c r="C19" s="143">
        <v>46.43</v>
      </c>
      <c r="D19" s="143">
        <v>48.4</v>
      </c>
      <c r="E19" s="116">
        <f t="shared" si="1"/>
        <v>94.83</v>
      </c>
      <c r="F19" s="678">
        <f>'1461'!F19:G19</f>
        <v>0.97799999999999998</v>
      </c>
      <c r="G19" s="678"/>
      <c r="H19" s="80">
        <f t="shared" si="2"/>
        <v>92.743700000000004</v>
      </c>
      <c r="I19" s="101">
        <f t="shared" si="3"/>
        <v>514586.93</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27.6</v>
      </c>
      <c r="D28" s="143">
        <v>29.15</v>
      </c>
      <c r="E28" s="116">
        <f t="shared" si="1"/>
        <v>56.75</v>
      </c>
      <c r="F28" s="678">
        <f>'1461'!F28:G28</f>
        <v>1.1919999999999999</v>
      </c>
      <c r="G28" s="678"/>
      <c r="H28" s="80">
        <f t="shared" si="2"/>
        <v>67.646000000000001</v>
      </c>
      <c r="I28" s="101">
        <f t="shared" si="3"/>
        <v>375332.75</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320.01</v>
      </c>
      <c r="D30" s="94">
        <f>SUM(D14:D29)</f>
        <v>345.96</v>
      </c>
      <c r="E30" s="94">
        <f>SUM(E14:E29)</f>
        <v>665.97</v>
      </c>
      <c r="F30" s="597"/>
      <c r="G30" s="597"/>
      <c r="H30" s="99">
        <f>SUM(H14:H29)</f>
        <v>663.46309999999994</v>
      </c>
      <c r="I30" s="94">
        <f>SUM(I14:I29)</f>
        <v>3681214.3800000004</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663.46309999999994</v>
      </c>
      <c r="F46" s="34"/>
      <c r="G46" s="106"/>
      <c r="H46" s="107" t="s">
        <v>98</v>
      </c>
      <c r="I46" s="94">
        <f>SUM(I44,I30)</f>
        <v>3681214.3800000004</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 t="s">
        <v>514</v>
      </c>
      <c r="C51" s="26"/>
      <c r="D51" s="26"/>
      <c r="E51" s="43" t="s">
        <v>399</v>
      </c>
      <c r="F51" s="399">
        <v>3681214.3800000004</v>
      </c>
      <c r="G51" s="109" t="s">
        <v>6</v>
      </c>
      <c r="H51" s="400">
        <v>5.5899999999999998E-2</v>
      </c>
      <c r="I51" s="101">
        <f>ROUND(F51*H51,2)</f>
        <v>205779.88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3681214.3800000004</v>
      </c>
      <c r="G52" s="109" t="s">
        <v>6</v>
      </c>
      <c r="H52" s="400">
        <v>1.0699999999999999E-2</v>
      </c>
      <c r="I52" s="101">
        <f>ROUND(F52*H52,2)</f>
        <v>39388.99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245168.87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45.93</v>
      </c>
      <c r="D63" s="143">
        <v>48</v>
      </c>
      <c r="E63" s="116">
        <f t="shared" si="10"/>
        <v>93.93</v>
      </c>
      <c r="F63" s="443" t="s">
        <v>14</v>
      </c>
      <c r="G63" s="442">
        <v>251</v>
      </c>
      <c r="H63" s="456">
        <f>'1461'!H63</f>
        <v>835</v>
      </c>
      <c r="I63" s="101">
        <f t="shared" si="11"/>
        <v>78431.55</v>
      </c>
      <c r="N63" s="634"/>
      <c r="O63" s="634"/>
      <c r="P63" s="637"/>
      <c r="Q63" s="637"/>
      <c r="R63" s="40" t="s">
        <v>14</v>
      </c>
      <c r="S63" s="448">
        <v>251</v>
      </c>
      <c r="T63" s="459">
        <f t="shared" si="12"/>
        <v>835</v>
      </c>
      <c r="U63" s="473">
        <f t="shared" si="13"/>
        <v>0</v>
      </c>
      <c r="V63" s="423"/>
    </row>
    <row r="64" spans="1:22" x14ac:dyDescent="0.25">
      <c r="A64" s="604"/>
      <c r="B64" s="604"/>
      <c r="C64" s="143">
        <v>0.5</v>
      </c>
      <c r="D64" s="143">
        <v>0.4</v>
      </c>
      <c r="E64" s="116">
        <f t="shared" si="10"/>
        <v>0.9</v>
      </c>
      <c r="F64" s="443" t="s">
        <v>14</v>
      </c>
      <c r="G64" s="442">
        <v>252</v>
      </c>
      <c r="H64" s="456">
        <f>'1461'!H64</f>
        <v>3168</v>
      </c>
      <c r="I64" s="101">
        <f t="shared" si="11"/>
        <v>2851.2</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46.43</v>
      </c>
      <c r="D66" s="97">
        <f>SUM(D57:D65)</f>
        <v>48.4</v>
      </c>
      <c r="E66" s="97">
        <f>SUM(E57:E65)</f>
        <v>94.830000000000013</v>
      </c>
      <c r="F66" s="605" t="s">
        <v>446</v>
      </c>
      <c r="G66" s="605"/>
      <c r="H66" s="605"/>
      <c r="I66" s="97">
        <f>SUM(I57:I65)</f>
        <v>81282.75</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665.97</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3.1679999999999998E-3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663.46309999999994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2.8249999999999998E-3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665.97</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3.5490000000000001E-3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665.97</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3.173E-3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665.97</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3.555E-3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3.173E-3</v>
      </c>
      <c r="I85" s="101">
        <f>ROUND(F85*H85,2)</f>
        <v>146477.43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3.1679999999999998E-3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3.555E-3</v>
      </c>
      <c r="I90" s="101">
        <f>ROUND(F90*H90,2)</f>
        <v>67694.399999999994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3.5490000000000001E-3</v>
      </c>
      <c r="I92" s="101">
        <f t="shared" ref="I92:I96" si="14">ROUND(F92*H92,2)</f>
        <v>40604.639999999999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2.8249999999999998E-3</v>
      </c>
      <c r="I94" s="101">
        <f t="shared" si="14"/>
        <v>722513.01</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2.8249999999999998E-3</v>
      </c>
      <c r="I96" s="101">
        <f t="shared" si="14"/>
        <v>-4479.2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3.1679999999999998E-3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663.46309999999994</v>
      </c>
      <c r="D106" s="611"/>
      <c r="E106" s="46">
        <f>H8</f>
        <v>1.0407999999999999</v>
      </c>
      <c r="F106" s="302">
        <f>'1461'!F106</f>
        <v>910.12</v>
      </c>
      <c r="G106" s="39" t="s">
        <v>12</v>
      </c>
      <c r="H106" s="94">
        <f>ROUND(C106*E106*F106,2)</f>
        <v>628467.34</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663.46309999999994</v>
      </c>
      <c r="D107" s="601"/>
      <c r="E107" s="123"/>
      <c r="F107" s="123"/>
      <c r="G107" s="123"/>
      <c r="H107" s="124" t="s">
        <v>100</v>
      </c>
      <c r="I107" s="101">
        <f>IF(A1=75,0,H106+H105+H104)</f>
        <v>628467.34</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413</v>
      </c>
      <c r="D113" s="143">
        <v>490</v>
      </c>
      <c r="E113" s="116">
        <f>(C113+D113)/2</f>
        <v>451.5</v>
      </c>
      <c r="F113" s="126" t="s">
        <v>30</v>
      </c>
      <c r="G113" s="303">
        <f>'1461'!G113</f>
        <v>567</v>
      </c>
      <c r="I113" s="101">
        <f>ROUND(G113*E113,2)</f>
        <v>256000.5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5619775.25</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5374606.3799999999</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5374606.3799999999</v>
      </c>
      <c r="I135" s="94">
        <f>ROUND(IF(E30=0,0,IF(E30&gt;250,-(((250/E30)*H135)*IF(G135="H",0.02,0.05)),IF(G135="H",-0.02*H135,-0.05*H135))),2)</f>
        <v>-100879.29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5518895.96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Payments'!Q94</f>
        <v>-918583.83000000007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4600312.13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460031.21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167851.03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129</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106.18</v>
      </c>
      <c r="D14" s="141">
        <v>105.98</v>
      </c>
      <c r="E14" s="187">
        <f>IF(D$30=0,C14*2,C14+D14)</f>
        <v>212.16000000000003</v>
      </c>
      <c r="F14" s="682">
        <f>'1461'!F14:G14</f>
        <v>1.1180000000000001</v>
      </c>
      <c r="G14" s="682"/>
      <c r="H14" s="145">
        <f>ROUND(E14*F14,4)</f>
        <v>237.19489999999999</v>
      </c>
      <c r="I14" s="111">
        <f>ROUND(ROUND(ROUND(H14*$C$8,4)*($H$8),2)*(MAX($H$9,1)),2)</f>
        <v>1316072.1000000001</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11</v>
      </c>
      <c r="D15" s="143">
        <v>11</v>
      </c>
      <c r="E15" s="116">
        <f t="shared" ref="E15:E29" si="1">IF(D$30=0,C15*2,C15+D15)</f>
        <v>22</v>
      </c>
      <c r="F15" s="678">
        <f>'1461'!F15:G15</f>
        <v>1.1180000000000001</v>
      </c>
      <c r="G15" s="678"/>
      <c r="H15" s="80">
        <f t="shared" ref="H15:H29" si="2">ROUND(E15*F15,4)</f>
        <v>24.596</v>
      </c>
      <c r="I15" s="101">
        <f t="shared" ref="I15:I29" si="3">ROUND(ROUND(ROUND(H15*$C$8,4)*($H$8),2)*(MAX($H$9,1)),2)</f>
        <v>136470.51</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174.8</v>
      </c>
      <c r="D16" s="143">
        <v>171.83</v>
      </c>
      <c r="E16" s="116">
        <f t="shared" si="1"/>
        <v>346.63</v>
      </c>
      <c r="F16" s="678">
        <f>'1461'!F16:G16</f>
        <v>1</v>
      </c>
      <c r="G16" s="678"/>
      <c r="H16" s="80">
        <f t="shared" si="2"/>
        <v>346.63</v>
      </c>
      <c r="I16" s="101">
        <f t="shared" si="3"/>
        <v>1923271</v>
      </c>
      <c r="N16" s="616" t="s">
        <v>22</v>
      </c>
      <c r="O16" s="616"/>
      <c r="P16" s="657">
        <f t="shared" si="0"/>
        <v>0</v>
      </c>
      <c r="Q16" s="657"/>
      <c r="R16" s="662">
        <v>1</v>
      </c>
      <c r="S16" s="662"/>
      <c r="T16" s="95">
        <f t="shared" si="4"/>
        <v>0</v>
      </c>
      <c r="U16" s="472">
        <f t="shared" si="5"/>
        <v>0</v>
      </c>
    </row>
    <row r="17" spans="1:21" x14ac:dyDescent="0.25">
      <c r="A17" s="593" t="s">
        <v>23</v>
      </c>
      <c r="B17" s="593"/>
      <c r="C17" s="143">
        <v>20.5</v>
      </c>
      <c r="D17" s="143">
        <v>19.5</v>
      </c>
      <c r="E17" s="116">
        <f t="shared" si="1"/>
        <v>40</v>
      </c>
      <c r="F17" s="678">
        <f>'1461'!F17:G17</f>
        <v>1</v>
      </c>
      <c r="G17" s="678"/>
      <c r="H17" s="80">
        <f t="shared" si="2"/>
        <v>40</v>
      </c>
      <c r="I17" s="101">
        <f t="shared" si="3"/>
        <v>221939.36</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23.59</v>
      </c>
      <c r="D26" s="143">
        <v>25.57</v>
      </c>
      <c r="E26" s="116">
        <f t="shared" si="1"/>
        <v>49.16</v>
      </c>
      <c r="F26" s="678">
        <f>'1461'!F26:G26</f>
        <v>1.1919999999999999</v>
      </c>
      <c r="G26" s="678"/>
      <c r="H26" s="80">
        <f t="shared" si="2"/>
        <v>58.598700000000001</v>
      </c>
      <c r="I26" s="101">
        <f t="shared" si="3"/>
        <v>325133.95</v>
      </c>
      <c r="N26" s="616" t="s">
        <v>85</v>
      </c>
      <c r="O26" s="616"/>
      <c r="P26" s="657">
        <f t="shared" si="0"/>
        <v>0</v>
      </c>
      <c r="Q26" s="657"/>
      <c r="R26" s="662">
        <v>1</v>
      </c>
      <c r="S26" s="662"/>
      <c r="T26" s="95">
        <f t="shared" si="4"/>
        <v>0</v>
      </c>
      <c r="U26" s="472">
        <f t="shared" si="5"/>
        <v>0</v>
      </c>
    </row>
    <row r="27" spans="1:21" x14ac:dyDescent="0.25">
      <c r="A27" s="593" t="s">
        <v>86</v>
      </c>
      <c r="B27" s="593"/>
      <c r="C27" s="143">
        <v>19.2</v>
      </c>
      <c r="D27" s="143">
        <v>20.51</v>
      </c>
      <c r="E27" s="116">
        <f t="shared" si="1"/>
        <v>39.71</v>
      </c>
      <c r="F27" s="678">
        <f>'1461'!F27:G27</f>
        <v>1.1919999999999999</v>
      </c>
      <c r="G27" s="678"/>
      <c r="H27" s="80">
        <f t="shared" si="2"/>
        <v>47.334299999999999</v>
      </c>
      <c r="I27" s="101">
        <f t="shared" si="3"/>
        <v>262633.61</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355.27</v>
      </c>
      <c r="D30" s="94">
        <f>SUM(D14:D29)</f>
        <v>354.39</v>
      </c>
      <c r="E30" s="94">
        <f>SUM(E14:E29)</f>
        <v>709.66</v>
      </c>
      <c r="F30" s="597"/>
      <c r="G30" s="597"/>
      <c r="H30" s="99">
        <f>SUM(H14:H29)</f>
        <v>754.35389999999995</v>
      </c>
      <c r="I30" s="94">
        <f>SUM(I14:I29)</f>
        <v>4185520.5300000003</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754.35389999999995</v>
      </c>
      <c r="F46" s="34"/>
      <c r="G46" s="106"/>
      <c r="H46" s="107" t="s">
        <v>98</v>
      </c>
      <c r="I46" s="94">
        <f>SUM(I44,I30)</f>
        <v>4185520.5300000003</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4185520.5300000003</v>
      </c>
      <c r="G51" s="109" t="s">
        <v>6</v>
      </c>
      <c r="H51" s="400">
        <v>5.5899999999999998E-2</v>
      </c>
      <c r="I51" s="101">
        <f>ROUND(F51*H51,2)</f>
        <v>233970.6</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4185520.5300000003</v>
      </c>
      <c r="G52" s="109" t="s">
        <v>6</v>
      </c>
      <c r="H52" s="400">
        <v>1.0699999999999999E-2</v>
      </c>
      <c r="I52" s="101">
        <f>ROUND(F52*H52,2)</f>
        <v>44785.07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278755.67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10.5</v>
      </c>
      <c r="D57" s="143">
        <v>10</v>
      </c>
      <c r="E57" s="116">
        <f t="shared" ref="E57:E65" si="10">IF(D$66=0,C57*2,C57+D57)</f>
        <v>20.5</v>
      </c>
      <c r="F57" s="442" t="s">
        <v>437</v>
      </c>
      <c r="G57" s="442">
        <v>251</v>
      </c>
      <c r="H57" s="456">
        <f>'1461'!H57</f>
        <v>1047</v>
      </c>
      <c r="I57" s="101">
        <f>ROUND(E57*H57,2)</f>
        <v>21463.5</v>
      </c>
      <c r="N57" s="633" t="s">
        <v>445</v>
      </c>
      <c r="O57" s="633"/>
      <c r="P57" s="636"/>
      <c r="Q57" s="636"/>
      <c r="R57" s="448" t="s">
        <v>437</v>
      </c>
      <c r="S57" s="448">
        <v>251</v>
      </c>
      <c r="T57" s="459">
        <f>H57</f>
        <v>1047</v>
      </c>
      <c r="U57" s="473">
        <f>ROUND(P57*T57,2)</f>
        <v>0</v>
      </c>
      <c r="V57" s="423"/>
    </row>
    <row r="58" spans="1:22" x14ac:dyDescent="0.25">
      <c r="A58" s="604"/>
      <c r="B58" s="604"/>
      <c r="C58" s="143">
        <v>0.5</v>
      </c>
      <c r="D58" s="143">
        <v>1</v>
      </c>
      <c r="E58" s="116">
        <f t="shared" si="10"/>
        <v>1.5</v>
      </c>
      <c r="F58" s="442" t="s">
        <v>437</v>
      </c>
      <c r="G58" s="442">
        <v>252</v>
      </c>
      <c r="H58" s="456">
        <f>'1461'!H58</f>
        <v>3380</v>
      </c>
      <c r="I58" s="101">
        <f t="shared" ref="I58:I65" si="11">ROUND(E58*H58,2)</f>
        <v>5070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16.5</v>
      </c>
      <c r="D60" s="143">
        <v>16.989999999999998</v>
      </c>
      <c r="E60" s="116">
        <f t="shared" si="10"/>
        <v>33.489999999999995</v>
      </c>
      <c r="F60" s="443" t="s">
        <v>13</v>
      </c>
      <c r="G60" s="442">
        <v>251</v>
      </c>
      <c r="H60" s="456">
        <f>'1461'!H60</f>
        <v>1173</v>
      </c>
      <c r="I60" s="101">
        <f t="shared" si="11"/>
        <v>39283.769999999997</v>
      </c>
      <c r="N60" s="634"/>
      <c r="O60" s="634"/>
      <c r="P60" s="637"/>
      <c r="Q60" s="637"/>
      <c r="R60" s="40" t="s">
        <v>13</v>
      </c>
      <c r="S60" s="448">
        <v>251</v>
      </c>
      <c r="T60" s="459">
        <f t="shared" si="12"/>
        <v>1173</v>
      </c>
      <c r="U60" s="473">
        <f t="shared" si="13"/>
        <v>0</v>
      </c>
      <c r="V60" s="423"/>
    </row>
    <row r="61" spans="1:22" x14ac:dyDescent="0.25">
      <c r="A61" s="604"/>
      <c r="B61" s="604"/>
      <c r="C61" s="143">
        <v>4</v>
      </c>
      <c r="D61" s="143">
        <v>2.5099999999999998</v>
      </c>
      <c r="E61" s="116">
        <f t="shared" si="10"/>
        <v>6.51</v>
      </c>
      <c r="F61" s="443" t="s">
        <v>13</v>
      </c>
      <c r="G61" s="442">
        <v>252</v>
      </c>
      <c r="H61" s="456">
        <f>'1461'!H61</f>
        <v>3506</v>
      </c>
      <c r="I61" s="101">
        <f t="shared" si="11"/>
        <v>22824.06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31.5</v>
      </c>
      <c r="D66" s="97">
        <f>SUM(D57:D65)</f>
        <v>30.5</v>
      </c>
      <c r="E66" s="97">
        <f>SUM(E57:E65)</f>
        <v>61.999999999999993</v>
      </c>
      <c r="F66" s="605" t="s">
        <v>446</v>
      </c>
      <c r="G66" s="605"/>
      <c r="H66" s="605"/>
      <c r="I66" s="97">
        <f>SUM(I57:I65)</f>
        <v>88641.329999999987</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709.66</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3.3760000000000001E-3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754.35389999999995</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3.212E-3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709.66</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3.7820000000000002E-3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709.66</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3.3809999999999999E-3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709.66</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3.7880000000000001E-3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3.3809999999999999E-3</v>
      </c>
      <c r="I85" s="101">
        <f>ROUND(F85*H85,2)</f>
        <v>156079.48000000001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3.3760000000000001E-3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3.7880000000000001E-3</v>
      </c>
      <c r="I90" s="101">
        <f>ROUND(F90*H90,2)</f>
        <v>72131.19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3.7820000000000002E-3</v>
      </c>
      <c r="I92" s="101">
        <f t="shared" ref="I92:I96" si="14">ROUND(F92*H92,2)</f>
        <v>43270.43</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3.212E-3</v>
      </c>
      <c r="I94" s="101">
        <f t="shared" si="14"/>
        <v>821490.89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3.212E-3</v>
      </c>
      <c r="I96" s="101">
        <f t="shared" si="14"/>
        <v>-5092.82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3.3760000000000001E-3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320.38959999999997</v>
      </c>
      <c r="D104" s="611"/>
      <c r="E104" s="46">
        <f>H8</f>
        <v>1.0407999999999999</v>
      </c>
      <c r="F104" s="302">
        <f>'1461'!F104</f>
        <v>950.92</v>
      </c>
      <c r="G104" s="39" t="s">
        <v>12</v>
      </c>
      <c r="H104" s="101">
        <f>ROUND(C104*E104*F104,2)</f>
        <v>317095.21000000002</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433.96429999999998</v>
      </c>
      <c r="D105" s="611"/>
      <c r="E105" s="46">
        <f>H8</f>
        <v>1.0407999999999999</v>
      </c>
      <c r="F105" s="302">
        <f>'1461'!F105</f>
        <v>907.92</v>
      </c>
      <c r="G105" s="39" t="s">
        <v>12</v>
      </c>
      <c r="H105" s="101">
        <f>ROUND(C105*E105*F105,2)</f>
        <v>410080.27</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754.35389999999995</v>
      </c>
      <c r="D107" s="601"/>
      <c r="E107" s="123"/>
      <c r="F107" s="123"/>
      <c r="G107" s="123"/>
      <c r="H107" s="124" t="s">
        <v>100</v>
      </c>
      <c r="I107" s="101">
        <f>IF(A1=75,0,H106+H105+H104)</f>
        <v>727175.48</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91</v>
      </c>
      <c r="D113" s="143">
        <v>101</v>
      </c>
      <c r="E113" s="116">
        <f>(C113+D113)/2</f>
        <v>96</v>
      </c>
      <c r="F113" s="126" t="s">
        <v>30</v>
      </c>
      <c r="G113" s="303">
        <f>'1461'!G113</f>
        <v>567</v>
      </c>
      <c r="I113" s="101">
        <f>ROUND(G113*E113,2)</f>
        <v>54432</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6143648.5099999998</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5864892.8399999999</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88" t="s">
        <v>500</v>
      </c>
      <c r="O132" s="689"/>
      <c r="P132" s="689"/>
      <c r="Q132" s="689"/>
      <c r="R132" s="689"/>
      <c r="S132" s="689"/>
      <c r="T132" s="689"/>
      <c r="U132" s="138"/>
    </row>
    <row r="133" spans="1:21" x14ac:dyDescent="0.25">
      <c r="A133" s="593" t="s">
        <v>70</v>
      </c>
      <c r="B133" s="593"/>
      <c r="C133" s="593"/>
      <c r="D133" s="593"/>
      <c r="E133" s="593"/>
      <c r="F133" s="593"/>
      <c r="G133" s="593"/>
      <c r="H133" s="70" t="str">
        <f>IF(E30=0,"",IF((E15+E17+SUM(E19:E25))/E30&gt;0.75,1,""))</f>
        <v/>
      </c>
      <c r="I133" s="116">
        <f>U130</f>
        <v>0</v>
      </c>
      <c r="N133" s="689" t="s">
        <v>70</v>
      </c>
      <c r="O133" s="689"/>
      <c r="P133" s="689"/>
      <c r="Q133" s="689"/>
      <c r="R133" s="689"/>
      <c r="S133" s="689"/>
      <c r="T133" s="68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5864892.8399999999</v>
      </c>
      <c r="I135" s="94">
        <f>ROUND(IF(E30=0,0,IF(E30&gt;250,-(((250/E30)*H135)*IF(G135="H",0.02,0.05)),IF(G135="H",-0.02*H135,-0.05*H135))),2)</f>
        <v>-103304.63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6040343.8799999999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-1005047.83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5035296.05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503529.61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189940.01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130</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151.69</v>
      </c>
      <c r="D14" s="141">
        <v>148.52000000000001</v>
      </c>
      <c r="E14" s="187">
        <f>IF(D$30=0,C14*2,C14+D14)</f>
        <v>300.21000000000004</v>
      </c>
      <c r="F14" s="682">
        <f>'1461'!F14:G14</f>
        <v>1.1180000000000001</v>
      </c>
      <c r="G14" s="682"/>
      <c r="H14" s="145">
        <f>ROUND(E14*F14,4)</f>
        <v>335.63479999999998</v>
      </c>
      <c r="I14" s="111">
        <f>ROUND(ROUND(ROUND(H14*$C$8,4)*($H$8),2)*(MAX($H$9,1)),2)</f>
        <v>1862264.31</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21.5</v>
      </c>
      <c r="D15" s="143">
        <v>20</v>
      </c>
      <c r="E15" s="116">
        <f t="shared" ref="E15:E29" si="1">IF(D$30=0,C15*2,C15+D15)</f>
        <v>41.5</v>
      </c>
      <c r="F15" s="678">
        <f>'1461'!F15:G15</f>
        <v>1.1180000000000001</v>
      </c>
      <c r="G15" s="678"/>
      <c r="H15" s="80">
        <f t="shared" ref="H15:H29" si="2">ROUND(E15*F15,4)</f>
        <v>46.396999999999998</v>
      </c>
      <c r="I15" s="101">
        <f t="shared" ref="I15:I29" si="3">ROUND(ROUND(ROUND(H15*$C$8,4)*($H$8),2)*(MAX($H$9,1)),2)</f>
        <v>257433.01</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210.56</v>
      </c>
      <c r="D16" s="143">
        <v>205.72</v>
      </c>
      <c r="E16" s="116">
        <f t="shared" si="1"/>
        <v>416.28</v>
      </c>
      <c r="F16" s="678">
        <f>'1461'!F16:G16</f>
        <v>1</v>
      </c>
      <c r="G16" s="678"/>
      <c r="H16" s="80">
        <f t="shared" si="2"/>
        <v>416.28</v>
      </c>
      <c r="I16" s="101">
        <f t="shared" si="3"/>
        <v>2309722.91</v>
      </c>
      <c r="N16" s="616" t="s">
        <v>22</v>
      </c>
      <c r="O16" s="616"/>
      <c r="P16" s="657">
        <f t="shared" si="0"/>
        <v>0</v>
      </c>
      <c r="Q16" s="657"/>
      <c r="R16" s="662">
        <v>1</v>
      </c>
      <c r="S16" s="662"/>
      <c r="T16" s="95">
        <f t="shared" si="4"/>
        <v>0</v>
      </c>
      <c r="U16" s="472">
        <f t="shared" si="5"/>
        <v>0</v>
      </c>
    </row>
    <row r="17" spans="1:21" x14ac:dyDescent="0.25">
      <c r="A17" s="593" t="s">
        <v>23</v>
      </c>
      <c r="B17" s="593"/>
      <c r="C17" s="143">
        <v>27.5</v>
      </c>
      <c r="D17" s="143">
        <v>27.05</v>
      </c>
      <c r="E17" s="116">
        <f t="shared" si="1"/>
        <v>54.55</v>
      </c>
      <c r="F17" s="678">
        <f>'1461'!F17:G17</f>
        <v>1</v>
      </c>
      <c r="G17" s="678"/>
      <c r="H17" s="80">
        <f t="shared" si="2"/>
        <v>54.55</v>
      </c>
      <c r="I17" s="101">
        <f t="shared" si="3"/>
        <v>302669.8</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89.32</v>
      </c>
      <c r="D26" s="143">
        <v>86.68</v>
      </c>
      <c r="E26" s="116">
        <f t="shared" si="1"/>
        <v>176</v>
      </c>
      <c r="F26" s="678">
        <f>'1461'!F26:G26</f>
        <v>1.1919999999999999</v>
      </c>
      <c r="G26" s="678"/>
      <c r="H26" s="80">
        <f t="shared" si="2"/>
        <v>209.792</v>
      </c>
      <c r="I26" s="101">
        <f t="shared" si="3"/>
        <v>1164027.55</v>
      </c>
      <c r="N26" s="616" t="s">
        <v>85</v>
      </c>
      <c r="O26" s="616"/>
      <c r="P26" s="657">
        <f t="shared" si="0"/>
        <v>0</v>
      </c>
      <c r="Q26" s="657"/>
      <c r="R26" s="662">
        <v>1</v>
      </c>
      <c r="S26" s="662"/>
      <c r="T26" s="95">
        <f t="shared" si="4"/>
        <v>0</v>
      </c>
      <c r="U26" s="472">
        <f t="shared" si="5"/>
        <v>0</v>
      </c>
    </row>
    <row r="27" spans="1:21" x14ac:dyDescent="0.25">
      <c r="A27" s="593" t="s">
        <v>86</v>
      </c>
      <c r="B27" s="593"/>
      <c r="C27" s="143">
        <v>52.44</v>
      </c>
      <c r="D27" s="143">
        <v>38.799999999999997</v>
      </c>
      <c r="E27" s="116">
        <f t="shared" si="1"/>
        <v>91.24</v>
      </c>
      <c r="F27" s="678">
        <f>'1461'!F27:G27</f>
        <v>1.1919999999999999</v>
      </c>
      <c r="G27" s="678"/>
      <c r="H27" s="80">
        <f t="shared" si="2"/>
        <v>108.7581</v>
      </c>
      <c r="I27" s="101">
        <f t="shared" si="3"/>
        <v>603442.57999999996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553.01</v>
      </c>
      <c r="D30" s="94">
        <f>SUM(D14:D29)</f>
        <v>526.77</v>
      </c>
      <c r="E30" s="94">
        <f>SUM(E14:E29)</f>
        <v>1079.78</v>
      </c>
      <c r="F30" s="597"/>
      <c r="G30" s="597"/>
      <c r="H30" s="99">
        <f>SUM(H14:H29)</f>
        <v>1171.4118999999998</v>
      </c>
      <c r="I30" s="94">
        <f>SUM(I14:I29)</f>
        <v>6499560.1600000001</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1171.4118999999998</v>
      </c>
      <c r="F46" s="34"/>
      <c r="G46" s="106"/>
      <c r="H46" s="107" t="s">
        <v>98</v>
      </c>
      <c r="I46" s="94">
        <f>SUM(I44,I30)</f>
        <v>6499560.1600000001</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6499560.1600000001</v>
      </c>
      <c r="G51" s="109" t="s">
        <v>6</v>
      </c>
      <c r="H51" s="400">
        <v>5.5899999999999998E-2</v>
      </c>
      <c r="I51" s="101">
        <f>ROUND(F51*H51,2)</f>
        <v>363325.41</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6499560.1600000001</v>
      </c>
      <c r="G52" s="109" t="s">
        <v>6</v>
      </c>
      <c r="H52" s="400">
        <v>1.0699999999999999E-2</v>
      </c>
      <c r="I52" s="101">
        <f>ROUND(F52*H52,2)</f>
        <v>69545.289999999994</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432870.69999999995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16</v>
      </c>
      <c r="D57" s="143">
        <v>12.5</v>
      </c>
      <c r="E57" s="116">
        <f t="shared" ref="E57:E65" si="10">IF(D$66=0,C57*2,C57+D57)</f>
        <v>28.5</v>
      </c>
      <c r="F57" s="442" t="s">
        <v>437</v>
      </c>
      <c r="G57" s="442">
        <v>251</v>
      </c>
      <c r="H57" s="456">
        <f>'1461'!H57</f>
        <v>1047</v>
      </c>
      <c r="I57" s="101">
        <f>ROUND(E57*H57,2)</f>
        <v>29839.5</v>
      </c>
      <c r="N57" s="633" t="s">
        <v>445</v>
      </c>
      <c r="O57" s="633"/>
      <c r="P57" s="636"/>
      <c r="Q57" s="636"/>
      <c r="R57" s="448" t="s">
        <v>437</v>
      </c>
      <c r="S57" s="448">
        <v>251</v>
      </c>
      <c r="T57" s="459">
        <f>H57</f>
        <v>1047</v>
      </c>
      <c r="U57" s="473">
        <f>ROUND(P57*T57,2)</f>
        <v>0</v>
      </c>
      <c r="V57" s="423"/>
    </row>
    <row r="58" spans="1:22" x14ac:dyDescent="0.25">
      <c r="A58" s="604"/>
      <c r="B58" s="604"/>
      <c r="C58" s="143">
        <v>5.5</v>
      </c>
      <c r="D58" s="143">
        <v>7.5</v>
      </c>
      <c r="E58" s="116">
        <f t="shared" si="10"/>
        <v>13</v>
      </c>
      <c r="F58" s="442" t="s">
        <v>437</v>
      </c>
      <c r="G58" s="442">
        <v>252</v>
      </c>
      <c r="H58" s="456">
        <f>'1461'!H58</f>
        <v>3380</v>
      </c>
      <c r="I58" s="101">
        <f t="shared" ref="I58:I65" si="11">ROUND(E58*H58,2)</f>
        <v>43940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24.5</v>
      </c>
      <c r="D60" s="143">
        <v>23.63</v>
      </c>
      <c r="E60" s="116">
        <f t="shared" si="10"/>
        <v>48.129999999999995</v>
      </c>
      <c r="F60" s="443" t="s">
        <v>13</v>
      </c>
      <c r="G60" s="442">
        <v>251</v>
      </c>
      <c r="H60" s="456">
        <f>'1461'!H60</f>
        <v>1173</v>
      </c>
      <c r="I60" s="101">
        <f t="shared" si="11"/>
        <v>56456.49</v>
      </c>
      <c r="N60" s="634"/>
      <c r="O60" s="634"/>
      <c r="P60" s="637"/>
      <c r="Q60" s="637"/>
      <c r="R60" s="40" t="s">
        <v>13</v>
      </c>
      <c r="S60" s="448">
        <v>251</v>
      </c>
      <c r="T60" s="459">
        <f t="shared" si="12"/>
        <v>1173</v>
      </c>
      <c r="U60" s="473">
        <f t="shared" si="13"/>
        <v>0</v>
      </c>
      <c r="V60" s="423"/>
    </row>
    <row r="61" spans="1:22" x14ac:dyDescent="0.25">
      <c r="A61" s="604"/>
      <c r="B61" s="604"/>
      <c r="C61" s="143">
        <v>3</v>
      </c>
      <c r="D61" s="143">
        <v>2.92</v>
      </c>
      <c r="E61" s="116">
        <f t="shared" si="10"/>
        <v>5.92</v>
      </c>
      <c r="F61" s="443" t="s">
        <v>13</v>
      </c>
      <c r="G61" s="442">
        <v>252</v>
      </c>
      <c r="H61" s="456">
        <f>'1461'!H61</f>
        <v>3506</v>
      </c>
      <c r="I61" s="101">
        <f t="shared" si="11"/>
        <v>20755.52</v>
      </c>
      <c r="N61" s="634"/>
      <c r="O61" s="634"/>
      <c r="P61" s="637"/>
      <c r="Q61" s="637"/>
      <c r="R61" s="40" t="s">
        <v>13</v>
      </c>
      <c r="S61" s="448">
        <v>252</v>
      </c>
      <c r="T61" s="459">
        <f t="shared" si="12"/>
        <v>3506</v>
      </c>
      <c r="U61" s="473">
        <f t="shared" si="13"/>
        <v>0</v>
      </c>
      <c r="V61" s="423"/>
    </row>
    <row r="62" spans="1:22" x14ac:dyDescent="0.25">
      <c r="A62" s="604"/>
      <c r="B62" s="604"/>
      <c r="C62" s="143">
        <v>0</v>
      </c>
      <c r="D62" s="143">
        <v>0.5</v>
      </c>
      <c r="E62" s="116">
        <f t="shared" si="10"/>
        <v>0.5</v>
      </c>
      <c r="F62" s="443" t="s">
        <v>13</v>
      </c>
      <c r="G62" s="442">
        <v>253</v>
      </c>
      <c r="H62" s="456">
        <f>'1461'!H62</f>
        <v>7023</v>
      </c>
      <c r="I62" s="101">
        <f t="shared" si="11"/>
        <v>3511.5</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49</v>
      </c>
      <c r="D66" s="97">
        <f>SUM(D57:D65)</f>
        <v>47.05</v>
      </c>
      <c r="E66" s="97">
        <f>SUM(E57:E65)</f>
        <v>96.05</v>
      </c>
      <c r="F66" s="605" t="s">
        <v>446</v>
      </c>
      <c r="G66" s="605"/>
      <c r="H66" s="605"/>
      <c r="I66" s="97">
        <f>SUM(I57:I65)</f>
        <v>154503.00999999998</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1079.78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5.1359999999999999E-3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1171.4118999999998</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4.9870000000000001E-3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1079.78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5.7540000000000004E-3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1079.78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5.1440000000000001E-3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1079.78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5.764E-3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5.1440000000000001E-3</v>
      </c>
      <c r="I85" s="101">
        <f>ROUND(F85*H85,2)</f>
        <v>237466.09</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5.1359999999999999E-3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5.764E-3</v>
      </c>
      <c r="I90" s="101">
        <f>ROUND(F90*H90,2)</f>
        <v>109758.24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5.7540000000000004E-3</v>
      </c>
      <c r="I92" s="101">
        <f t="shared" ref="I92:I96" si="14">ROUND(F92*H92,2)</f>
        <v>65832.38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4.9870000000000001E-3</v>
      </c>
      <c r="I94" s="101">
        <f t="shared" si="14"/>
        <v>1275459.24</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4.9870000000000001E-3</v>
      </c>
      <c r="I96" s="101">
        <f t="shared" si="14"/>
        <v>-7907.18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5.1359999999999999E-3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591.82380000000001</v>
      </c>
      <c r="D104" s="611"/>
      <c r="E104" s="46">
        <f>H8</f>
        <v>1.0407999999999999</v>
      </c>
      <c r="F104" s="302">
        <f>'1461'!F104</f>
        <v>950.92</v>
      </c>
      <c r="G104" s="39" t="s">
        <v>12</v>
      </c>
      <c r="H104" s="101">
        <f>ROUND(C104*E104*F104,2)</f>
        <v>585738.39</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579.58809999999994</v>
      </c>
      <c r="D105" s="611"/>
      <c r="E105" s="46">
        <f>H8</f>
        <v>1.0407999999999999</v>
      </c>
      <c r="F105" s="302">
        <f>'1461'!F105</f>
        <v>907.92</v>
      </c>
      <c r="G105" s="39" t="s">
        <v>12</v>
      </c>
      <c r="H105" s="101">
        <f>ROUND(C105*E105*F105,2)</f>
        <v>547689.39</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1171.4119000000001</v>
      </c>
      <c r="D107" s="601"/>
      <c r="E107" s="123"/>
      <c r="F107" s="123"/>
      <c r="G107" s="123"/>
      <c r="H107" s="124" t="s">
        <v>100</v>
      </c>
      <c r="I107" s="101">
        <f>IF(A1=75,0,H106+H105+H104)</f>
        <v>1133427.78</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16">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1</v>
      </c>
      <c r="D114" s="143">
        <v>0</v>
      </c>
      <c r="E114" s="116">
        <f>(C114+D114)/2</f>
        <v>0.5</v>
      </c>
      <c r="F114" s="126" t="s">
        <v>30</v>
      </c>
      <c r="G114" s="303">
        <f>'1461'!G114</f>
        <v>1821</v>
      </c>
      <c r="I114" s="101">
        <f>ROUND(G114*E114,2)</f>
        <v>910.5</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9469577.2200000007</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9036706.5200000014</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9036706.5200000014</v>
      </c>
      <c r="I135" s="94">
        <f>ROUND(IF(E30=0,0,IF(E30&gt;250,-(((250/E30)*H135)*IF(G135="H",0.02,0.05)),IF(G135="H",-0.02*H135,-0.05*H135))),2)</f>
        <v>-104612.82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9364964.4000000004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-1558157.8599999999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7806806.540000001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780680.65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347222.51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131</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264.45</v>
      </c>
      <c r="D16" s="143">
        <v>272.39999999999998</v>
      </c>
      <c r="E16" s="116">
        <f t="shared" si="1"/>
        <v>536.84999999999991</v>
      </c>
      <c r="F16" s="678">
        <f>'1461'!F16:G16</f>
        <v>1</v>
      </c>
      <c r="G16" s="678"/>
      <c r="H16" s="80">
        <f t="shared" si="2"/>
        <v>536.85</v>
      </c>
      <c r="I16" s="101">
        <f t="shared" si="3"/>
        <v>2978703.63</v>
      </c>
      <c r="N16" s="616" t="s">
        <v>22</v>
      </c>
      <c r="O16" s="616"/>
      <c r="P16" s="657">
        <f t="shared" si="0"/>
        <v>0</v>
      </c>
      <c r="Q16" s="657"/>
      <c r="R16" s="662">
        <v>1</v>
      </c>
      <c r="S16" s="662"/>
      <c r="T16" s="95">
        <f t="shared" si="4"/>
        <v>0</v>
      </c>
      <c r="U16" s="472">
        <f t="shared" si="5"/>
        <v>0</v>
      </c>
    </row>
    <row r="17" spans="1:21" x14ac:dyDescent="0.25">
      <c r="A17" s="593" t="s">
        <v>23</v>
      </c>
      <c r="B17" s="593"/>
      <c r="C17" s="143">
        <v>53</v>
      </c>
      <c r="D17" s="143">
        <v>52.98</v>
      </c>
      <c r="E17" s="116">
        <f t="shared" si="1"/>
        <v>105.97999999999999</v>
      </c>
      <c r="F17" s="678">
        <f>'1461'!F17:G17</f>
        <v>1</v>
      </c>
      <c r="G17" s="678"/>
      <c r="H17" s="80">
        <f t="shared" si="2"/>
        <v>105.98</v>
      </c>
      <c r="I17" s="101">
        <f t="shared" si="3"/>
        <v>588028.32999999996</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5.07</v>
      </c>
      <c r="D27" s="143">
        <v>5.93</v>
      </c>
      <c r="E27" s="116">
        <f t="shared" si="1"/>
        <v>11</v>
      </c>
      <c r="F27" s="678">
        <f>'1461'!F27:G27</f>
        <v>1.1919999999999999</v>
      </c>
      <c r="G27" s="678"/>
      <c r="H27" s="80">
        <f t="shared" si="2"/>
        <v>13.112</v>
      </c>
      <c r="I27" s="101">
        <f t="shared" si="3"/>
        <v>72751.72</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322.52</v>
      </c>
      <c r="D30" s="94">
        <f>SUM(D14:D29)</f>
        <v>331.31</v>
      </c>
      <c r="E30" s="94">
        <f>SUM(E14:E29)</f>
        <v>653.82999999999993</v>
      </c>
      <c r="F30" s="597"/>
      <c r="G30" s="597"/>
      <c r="H30" s="99">
        <f>SUM(H14:H29)</f>
        <v>655.94200000000001</v>
      </c>
      <c r="I30" s="94">
        <f>SUM(I14:I29)</f>
        <v>3639483.68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655.94200000000001</v>
      </c>
      <c r="F46" s="34"/>
      <c r="G46" s="106"/>
      <c r="H46" s="107" t="s">
        <v>98</v>
      </c>
      <c r="I46" s="94">
        <f>SUM(I44,I30)</f>
        <v>3639483.68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3639483.68</v>
      </c>
      <c r="G51" s="109" t="s">
        <v>6</v>
      </c>
      <c r="H51" s="400">
        <v>5.5899999999999998E-2</v>
      </c>
      <c r="I51" s="101">
        <f>ROUND(F51*H51,2)</f>
        <v>203447.14</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3639483.68</v>
      </c>
      <c r="G52" s="109" t="s">
        <v>6</v>
      </c>
      <c r="H52" s="400">
        <v>1.0699999999999999E-2</v>
      </c>
      <c r="I52" s="101">
        <f>ROUND(F52*H52,2)</f>
        <v>38942.480000000003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242389.62000000002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IF(D$72=0,C57*2,C57+D57)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48.99</v>
      </c>
      <c r="D60" s="143">
        <v>49.57</v>
      </c>
      <c r="E60" s="116">
        <f>IF(D$72=0,C60*2,C60+D60)</f>
        <v>98.56</v>
      </c>
      <c r="F60" s="443" t="s">
        <v>13</v>
      </c>
      <c r="G60" s="442">
        <v>251</v>
      </c>
      <c r="H60" s="456">
        <f>'1461'!H60</f>
        <v>1173</v>
      </c>
      <c r="I60" s="101">
        <f t="shared" si="11"/>
        <v>115610.88</v>
      </c>
      <c r="N60" s="634"/>
      <c r="O60" s="634"/>
      <c r="P60" s="637"/>
      <c r="Q60" s="637"/>
      <c r="R60" s="40" t="s">
        <v>13</v>
      </c>
      <c r="S60" s="448">
        <v>251</v>
      </c>
      <c r="T60" s="459">
        <f t="shared" si="12"/>
        <v>1173</v>
      </c>
      <c r="U60" s="473">
        <f t="shared" si="13"/>
        <v>0</v>
      </c>
      <c r="V60" s="423"/>
    </row>
    <row r="61" spans="1:22" x14ac:dyDescent="0.25">
      <c r="A61" s="604"/>
      <c r="B61" s="604"/>
      <c r="C61" s="143">
        <v>3.51</v>
      </c>
      <c r="D61" s="143">
        <v>3.41</v>
      </c>
      <c r="E61" s="116">
        <f>IF(D$72=0,C61*2,C61+D61)</f>
        <v>6.92</v>
      </c>
      <c r="F61" s="443" t="s">
        <v>13</v>
      </c>
      <c r="G61" s="442">
        <v>252</v>
      </c>
      <c r="H61" s="456">
        <f>'1461'!H61</f>
        <v>3506</v>
      </c>
      <c r="I61" s="101">
        <f t="shared" si="11"/>
        <v>24261.52</v>
      </c>
      <c r="N61" s="634"/>
      <c r="O61" s="634"/>
      <c r="P61" s="637"/>
      <c r="Q61" s="637"/>
      <c r="R61" s="40" t="s">
        <v>13</v>
      </c>
      <c r="S61" s="448">
        <v>252</v>
      </c>
      <c r="T61" s="459">
        <f t="shared" si="12"/>
        <v>3506</v>
      </c>
      <c r="U61" s="473">
        <f t="shared" si="13"/>
        <v>0</v>
      </c>
      <c r="V61" s="423"/>
    </row>
    <row r="62" spans="1:22" x14ac:dyDescent="0.25">
      <c r="A62" s="604"/>
      <c r="B62" s="604"/>
      <c r="C62" s="143">
        <v>0.5</v>
      </c>
      <c r="D62" s="143">
        <v>0</v>
      </c>
      <c r="E62" s="116">
        <f>IF(D$72=0,C62*2,C62+D62)</f>
        <v>0.5</v>
      </c>
      <c r="F62" s="443" t="s">
        <v>13</v>
      </c>
      <c r="G62" s="442">
        <v>253</v>
      </c>
      <c r="H62" s="456">
        <f>'1461'!H62</f>
        <v>7023</v>
      </c>
      <c r="I62" s="101">
        <f t="shared" si="11"/>
        <v>3511.5</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53</v>
      </c>
      <c r="D66" s="97">
        <f>SUM(D57:D65)</f>
        <v>52.980000000000004</v>
      </c>
      <c r="E66" s="97">
        <f>SUM(E57:E65)</f>
        <v>105.98</v>
      </c>
      <c r="F66" s="605" t="s">
        <v>446</v>
      </c>
      <c r="G66" s="605"/>
      <c r="H66" s="605"/>
      <c r="I66" s="97">
        <f>SUM(I57:I65)</f>
        <v>143383.9</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653.82999999999993</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3.1099999999999999E-3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655.94200000000001</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2.7929999999999999E-3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653.82999999999993</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3.4840000000000001E-3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653.82999999999993</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3.1150000000000001E-3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653.82999999999993</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3.49E-3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3.1150000000000001E-3</v>
      </c>
      <c r="I85" s="101">
        <f>ROUND(F85*H85,2)</f>
        <v>143799.94</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3.1099999999999999E-3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3.49E-3</v>
      </c>
      <c r="I90" s="101">
        <f>ROUND(F90*H90,2)</f>
        <v>66456.67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3.4840000000000001E-3</v>
      </c>
      <c r="I92" s="101">
        <f t="shared" ref="I92:I96" si="14">ROUND(F92*H92,2)</f>
        <v>39860.97</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2.7929999999999999E-3</v>
      </c>
      <c r="I94" s="101">
        <f t="shared" si="14"/>
        <v>714328.79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2.7929999999999999E-3</v>
      </c>
      <c r="I96" s="101">
        <f t="shared" si="14"/>
        <v>-4428.47</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3.1099999999999999E-3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655.94200000000001</v>
      </c>
      <c r="D105" s="611"/>
      <c r="E105" s="46">
        <f>H8</f>
        <v>1.0407999999999999</v>
      </c>
      <c r="F105" s="302">
        <f>'1461'!F105</f>
        <v>907.92</v>
      </c>
      <c r="G105" s="39" t="s">
        <v>12</v>
      </c>
      <c r="H105" s="101">
        <f>ROUND(C105*E105*F105,2)</f>
        <v>619841.01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655.94200000000001</v>
      </c>
      <c r="D107" s="601"/>
      <c r="E107" s="123"/>
      <c r="F107" s="123"/>
      <c r="G107" s="123"/>
      <c r="H107" s="124" t="s">
        <v>100</v>
      </c>
      <c r="I107" s="101">
        <f>IF(A1=75,0,H106+H105+H104)</f>
        <v>619841.01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v>
      </c>
      <c r="D113" s="143">
        <v>4</v>
      </c>
      <c r="E113" s="116">
        <f>(C113+D113)/2</f>
        <v>2.5</v>
      </c>
      <c r="F113" s="126" t="s">
        <v>30</v>
      </c>
      <c r="G113" s="303">
        <f>'1461'!G113</f>
        <v>567</v>
      </c>
      <c r="I113" s="101">
        <f>ROUND(G113*E113,2)</f>
        <v>1417.5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5364143.99</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5121754.37</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5121754.37</v>
      </c>
      <c r="I135" s="94">
        <f>ROUND(IF(E30=0,0,IF(E30&gt;250,-(((250/E30)*H135)*IF(G135="H",0.02,0.05)),IF(G135="H",-0.02*H135,-0.05*H135))),2)</f>
        <v>-39167.32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5324976.67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-886013.95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4438962.72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443896.27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63267.77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422.73</v>
      </c>
      <c r="D18" s="143">
        <v>431.83</v>
      </c>
      <c r="E18" s="116">
        <f t="shared" si="1"/>
        <v>854.56</v>
      </c>
      <c r="F18" s="678">
        <f>'1461'!F18:G18</f>
        <v>0.97799999999999998</v>
      </c>
      <c r="G18" s="678"/>
      <c r="H18" s="80">
        <f t="shared" si="2"/>
        <v>835.75969999999995</v>
      </c>
      <c r="I18" s="101">
        <f t="shared" si="3"/>
        <v>4637199.3099999996</v>
      </c>
      <c r="N18" s="616" t="s">
        <v>24</v>
      </c>
      <c r="O18" s="616"/>
      <c r="P18" s="657">
        <f t="shared" si="0"/>
        <v>0</v>
      </c>
      <c r="Q18" s="657"/>
      <c r="R18" s="662">
        <v>1</v>
      </c>
      <c r="S18" s="662"/>
      <c r="T18" s="95">
        <f t="shared" si="4"/>
        <v>0</v>
      </c>
      <c r="U18" s="472">
        <f t="shared" si="5"/>
        <v>0</v>
      </c>
    </row>
    <row r="19" spans="1:21" x14ac:dyDescent="0.25">
      <c r="A19" s="593" t="s">
        <v>25</v>
      </c>
      <c r="B19" s="593"/>
      <c r="C19" s="143">
        <v>44.5</v>
      </c>
      <c r="D19" s="143">
        <v>36.03</v>
      </c>
      <c r="E19" s="116">
        <f t="shared" si="1"/>
        <v>80.53</v>
      </c>
      <c r="F19" s="678">
        <f>'1461'!F19:G19</f>
        <v>0.97799999999999998</v>
      </c>
      <c r="G19" s="678"/>
      <c r="H19" s="80">
        <f t="shared" si="2"/>
        <v>78.758300000000006</v>
      </c>
      <c r="I19" s="101">
        <f t="shared" si="3"/>
        <v>436989.17</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7.47</v>
      </c>
      <c r="D28" s="143">
        <v>6.89</v>
      </c>
      <c r="E28" s="116">
        <f t="shared" si="1"/>
        <v>14.36</v>
      </c>
      <c r="F28" s="678">
        <f>'1461'!F28:G28</f>
        <v>1.1919999999999999</v>
      </c>
      <c r="G28" s="678"/>
      <c r="H28" s="80">
        <f t="shared" si="2"/>
        <v>17.117100000000001</v>
      </c>
      <c r="I28" s="101">
        <f t="shared" si="3"/>
        <v>94973.96</v>
      </c>
      <c r="N28" s="616" t="s">
        <v>87</v>
      </c>
      <c r="O28" s="616"/>
      <c r="P28" s="657">
        <f t="shared" si="0"/>
        <v>0</v>
      </c>
      <c r="Q28" s="657"/>
      <c r="R28" s="662">
        <v>1</v>
      </c>
      <c r="S28" s="662"/>
      <c r="T28" s="95">
        <f t="shared" si="4"/>
        <v>0</v>
      </c>
      <c r="U28" s="472">
        <f t="shared" si="5"/>
        <v>0</v>
      </c>
    </row>
    <row r="29" spans="1:21" x14ac:dyDescent="0.25">
      <c r="A29" s="593" t="s">
        <v>88</v>
      </c>
      <c r="B29" s="593"/>
      <c r="C29" s="110">
        <v>24.6</v>
      </c>
      <c r="D29" s="110">
        <v>25.07</v>
      </c>
      <c r="E29" s="154">
        <f t="shared" si="1"/>
        <v>49.67</v>
      </c>
      <c r="F29" s="678">
        <f>'1461'!F29:G29</f>
        <v>1.079</v>
      </c>
      <c r="G29" s="678"/>
      <c r="H29" s="93">
        <f t="shared" si="2"/>
        <v>53.593899999999998</v>
      </c>
      <c r="I29" s="94">
        <f t="shared" si="3"/>
        <v>297364.90000000002</v>
      </c>
      <c r="N29" s="631" t="s">
        <v>88</v>
      </c>
      <c r="O29" s="631"/>
      <c r="P29" s="657">
        <f t="shared" si="0"/>
        <v>0</v>
      </c>
      <c r="Q29" s="657"/>
      <c r="R29" s="658">
        <v>1</v>
      </c>
      <c r="S29" s="658"/>
      <c r="T29" s="95">
        <f t="shared" si="4"/>
        <v>0</v>
      </c>
      <c r="U29" s="472">
        <f t="shared" si="5"/>
        <v>0</v>
      </c>
    </row>
    <row r="30" spans="1:21" x14ac:dyDescent="0.25">
      <c r="A30" s="605" t="s">
        <v>5</v>
      </c>
      <c r="B30" s="605"/>
      <c r="C30" s="94">
        <f>SUM(C14:C29)</f>
        <v>499.30000000000007</v>
      </c>
      <c r="D30" s="94">
        <f>SUM(D14:D29)</f>
        <v>499.82</v>
      </c>
      <c r="E30" s="94">
        <f>SUM(E14:E29)</f>
        <v>999.11999999999989</v>
      </c>
      <c r="F30" s="597"/>
      <c r="G30" s="597"/>
      <c r="H30" s="99">
        <f>SUM(H14:H29)</f>
        <v>985.22899999999993</v>
      </c>
      <c r="I30" s="94">
        <f>SUM(I14:I29)</f>
        <v>5466527.3399999999</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985.22899999999993</v>
      </c>
      <c r="F46" s="34"/>
      <c r="G46" s="106"/>
      <c r="H46" s="107" t="s">
        <v>98</v>
      </c>
      <c r="I46" s="94">
        <f>SUM(I44,I30)</f>
        <v>5466527.3399999999</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5466527.3399999999</v>
      </c>
      <c r="G51" s="109" t="s">
        <v>6</v>
      </c>
      <c r="H51" s="400">
        <v>5.5899999999999998E-2</v>
      </c>
      <c r="I51" s="101">
        <f>ROUND(F51*H51,2)</f>
        <v>305578.88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5466527.3399999999</v>
      </c>
      <c r="G52" s="109" t="s">
        <v>6</v>
      </c>
      <c r="H52" s="400">
        <v>1.0699999999999999E-2</v>
      </c>
      <c r="I52" s="101">
        <f>ROUND(F52*H52,2)</f>
        <v>58491.839999999997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364070.72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43</v>
      </c>
      <c r="D63" s="143">
        <v>36.03</v>
      </c>
      <c r="E63" s="116">
        <f t="shared" si="10"/>
        <v>79.03</v>
      </c>
      <c r="F63" s="443" t="s">
        <v>14</v>
      </c>
      <c r="G63" s="442">
        <v>251</v>
      </c>
      <c r="H63" s="456">
        <f>'1461'!H63</f>
        <v>835</v>
      </c>
      <c r="I63" s="101">
        <f t="shared" si="11"/>
        <v>65990.05</v>
      </c>
      <c r="N63" s="634"/>
      <c r="O63" s="634"/>
      <c r="P63" s="637"/>
      <c r="Q63" s="637"/>
      <c r="R63" s="40" t="s">
        <v>14</v>
      </c>
      <c r="S63" s="448">
        <v>251</v>
      </c>
      <c r="T63" s="459">
        <f t="shared" si="12"/>
        <v>835</v>
      </c>
      <c r="U63" s="473">
        <f t="shared" si="13"/>
        <v>0</v>
      </c>
      <c r="V63" s="423"/>
    </row>
    <row r="64" spans="1:22" x14ac:dyDescent="0.25">
      <c r="A64" s="604"/>
      <c r="B64" s="604"/>
      <c r="C64" s="143">
        <v>1.5</v>
      </c>
      <c r="D64" s="143">
        <v>0</v>
      </c>
      <c r="E64" s="116">
        <f t="shared" si="10"/>
        <v>1.5</v>
      </c>
      <c r="F64" s="443" t="s">
        <v>14</v>
      </c>
      <c r="G64" s="442">
        <v>252</v>
      </c>
      <c r="H64" s="456">
        <f>'1461'!H64</f>
        <v>3168</v>
      </c>
      <c r="I64" s="101">
        <f t="shared" si="11"/>
        <v>4752</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44.5</v>
      </c>
      <c r="D66" s="97">
        <f>SUM(D57:D65)</f>
        <v>36.03</v>
      </c>
      <c r="E66" s="97">
        <f>SUM(E57:E65)</f>
        <v>80.53</v>
      </c>
      <c r="F66" s="605" t="s">
        <v>446</v>
      </c>
      <c r="G66" s="605"/>
      <c r="H66" s="605"/>
      <c r="I66" s="97">
        <f>SUM(I57:I65)</f>
        <v>70742.05</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999.11999999999989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4.7530000000000003E-3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985.22899999999993</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4.1939999999999998E-3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999.11999999999989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5.3239999999999997E-3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999.11999999999989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4.7600000000000003E-3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999.11999999999989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5.3340000000000002E-3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4.7600000000000003E-3</v>
      </c>
      <c r="I85" s="101">
        <f>ROUND(F85*H85,2)</f>
        <v>219739.23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4.7530000000000003E-3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5.3340000000000002E-3</v>
      </c>
      <c r="I90" s="101">
        <f>ROUND(F90*H90,2)</f>
        <v>101570.17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5.3239999999999997E-3</v>
      </c>
      <c r="I92" s="101">
        <f t="shared" ref="I92:I96" si="14">ROUND(F92*H92,2)</f>
        <v>60912.69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4.1939999999999998E-3</v>
      </c>
      <c r="I94" s="101">
        <f t="shared" si="14"/>
        <v>1072644.0900000001</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4.1939999999999998E-3</v>
      </c>
      <c r="I96" s="101">
        <f t="shared" si="14"/>
        <v>-6649.83</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4.7530000000000003E-3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985.22899999999993</v>
      </c>
      <c r="D106" s="611"/>
      <c r="E106" s="46">
        <f>H8</f>
        <v>1.0407999999999999</v>
      </c>
      <c r="F106" s="302">
        <f>'1461'!F106</f>
        <v>910.12</v>
      </c>
      <c r="G106" s="39" t="s">
        <v>12</v>
      </c>
      <c r="H106" s="94">
        <f>ROUND(C106*E106*F106,2)</f>
        <v>933261.02</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985.22899999999993</v>
      </c>
      <c r="D107" s="601"/>
      <c r="E107" s="123"/>
      <c r="F107" s="123"/>
      <c r="G107" s="123"/>
      <c r="H107" s="124" t="s">
        <v>100</v>
      </c>
      <c r="I107" s="101">
        <f>IF(A1=75,0,H106+H105+H104)</f>
        <v>933261.02</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3</v>
      </c>
      <c r="D113" s="143">
        <v>0</v>
      </c>
      <c r="E113" s="116">
        <f>(C113+D113)/2</f>
        <v>1.5</v>
      </c>
      <c r="F113" s="126" t="s">
        <v>30</v>
      </c>
      <c r="G113" s="303">
        <f>'1461'!G113</f>
        <v>567</v>
      </c>
      <c r="I113" s="101">
        <f>ROUND(G113*E113,2)</f>
        <v>850.5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7919597.2599999998</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7555526.54</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77" t="s">
        <v>240</v>
      </c>
      <c r="H135" s="139">
        <f>IF(H133=1,I133,I130)</f>
        <v>7555526.54</v>
      </c>
      <c r="I135" s="94">
        <f>ROUND(IF(E30=0,0,IF(E30&gt;250,-(((250/E30)*H135)*IF(G135="H",0.02,0.05)),IF(G135="H",-0.02*H135,-0.05*H135))),2)</f>
        <v>-37810.910000000003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7881786.3499999996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-1311415.68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6570370.6699999999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657037.06999999995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113299.62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330</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219.48</v>
      </c>
      <c r="D14" s="141">
        <v>210.25</v>
      </c>
      <c r="E14" s="187">
        <f>IF(D$30=0,C14*2,C14+D14)</f>
        <v>429.73</v>
      </c>
      <c r="F14" s="682">
        <f>'1461'!F14:G14</f>
        <v>1.1180000000000001</v>
      </c>
      <c r="G14" s="682"/>
      <c r="H14" s="145">
        <f>ROUND(E14*F14,4)</f>
        <v>480.43810000000002</v>
      </c>
      <c r="I14" s="111">
        <f>ROUND(ROUND(ROUND(H14*$C$8,4)*($H$8),2)*(MAX($H$9,1)),2)</f>
        <v>2665703.1</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24.5</v>
      </c>
      <c r="D15" s="143">
        <v>29.23</v>
      </c>
      <c r="E15" s="116">
        <f t="shared" ref="E15:E29" si="1">IF(D$30=0,C15*2,C15+D15)</f>
        <v>53.730000000000004</v>
      </c>
      <c r="F15" s="678">
        <f>'1461'!F15:G15</f>
        <v>1.1180000000000001</v>
      </c>
      <c r="G15" s="678"/>
      <c r="H15" s="80">
        <f t="shared" ref="H15:H29" si="2">ROUND(E15*F15,4)</f>
        <v>60.070099999999996</v>
      </c>
      <c r="I15" s="101">
        <f t="shared" ref="I15:I29" si="3">ROUND(ROUND(ROUND(H15*$C$8,4)*($H$8),2)*(MAX($H$9,1)),2)</f>
        <v>333297.99</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282.2</v>
      </c>
      <c r="D16" s="143">
        <v>284.01</v>
      </c>
      <c r="E16" s="116">
        <f t="shared" si="1"/>
        <v>566.21</v>
      </c>
      <c r="F16" s="678">
        <f>'1461'!F16:G16</f>
        <v>1</v>
      </c>
      <c r="G16" s="678"/>
      <c r="H16" s="80">
        <f t="shared" si="2"/>
        <v>566.21</v>
      </c>
      <c r="I16" s="101">
        <f t="shared" si="3"/>
        <v>3141607.12</v>
      </c>
      <c r="N16" s="616" t="s">
        <v>22</v>
      </c>
      <c r="O16" s="616"/>
      <c r="P16" s="657">
        <f t="shared" si="0"/>
        <v>0</v>
      </c>
      <c r="Q16" s="657"/>
      <c r="R16" s="662">
        <v>1</v>
      </c>
      <c r="S16" s="662"/>
      <c r="T16" s="95">
        <f t="shared" si="4"/>
        <v>0</v>
      </c>
      <c r="U16" s="472">
        <f t="shared" si="5"/>
        <v>0</v>
      </c>
    </row>
    <row r="17" spans="1:21" x14ac:dyDescent="0.25">
      <c r="A17" s="593" t="s">
        <v>23</v>
      </c>
      <c r="B17" s="593"/>
      <c r="C17" s="143">
        <v>37.5</v>
      </c>
      <c r="D17" s="143">
        <v>38.6</v>
      </c>
      <c r="E17" s="116">
        <f t="shared" si="1"/>
        <v>76.099999999999994</v>
      </c>
      <c r="F17" s="678">
        <f>'1461'!F17:G17</f>
        <v>1</v>
      </c>
      <c r="G17" s="678"/>
      <c r="H17" s="80">
        <f t="shared" si="2"/>
        <v>76.099999999999994</v>
      </c>
      <c r="I17" s="101">
        <f t="shared" si="3"/>
        <v>422239.63</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21.78</v>
      </c>
      <c r="D26" s="143">
        <v>21.84</v>
      </c>
      <c r="E26" s="116">
        <f t="shared" si="1"/>
        <v>43.620000000000005</v>
      </c>
      <c r="F26" s="678">
        <f>'1461'!F26:G26</f>
        <v>1.1919999999999999</v>
      </c>
      <c r="G26" s="678"/>
      <c r="H26" s="80">
        <f t="shared" si="2"/>
        <v>51.994999999999997</v>
      </c>
      <c r="I26" s="101">
        <f t="shared" si="3"/>
        <v>288493.42</v>
      </c>
      <c r="N26" s="616" t="s">
        <v>85</v>
      </c>
      <c r="O26" s="616"/>
      <c r="P26" s="657">
        <f t="shared" si="0"/>
        <v>0</v>
      </c>
      <c r="Q26" s="657"/>
      <c r="R26" s="662">
        <v>1</v>
      </c>
      <c r="S26" s="662"/>
      <c r="T26" s="95">
        <f t="shared" si="4"/>
        <v>0</v>
      </c>
      <c r="U26" s="472">
        <f t="shared" si="5"/>
        <v>0</v>
      </c>
    </row>
    <row r="27" spans="1:21" x14ac:dyDescent="0.25">
      <c r="A27" s="593" t="s">
        <v>86</v>
      </c>
      <c r="B27" s="593"/>
      <c r="C27" s="143">
        <v>10.31</v>
      </c>
      <c r="D27" s="143">
        <v>10.9</v>
      </c>
      <c r="E27" s="116">
        <f t="shared" si="1"/>
        <v>21.21</v>
      </c>
      <c r="F27" s="678">
        <f>'1461'!F27:G27</f>
        <v>1.1919999999999999</v>
      </c>
      <c r="G27" s="678"/>
      <c r="H27" s="80">
        <f t="shared" si="2"/>
        <v>25.282299999999999</v>
      </c>
      <c r="I27" s="101">
        <f t="shared" si="3"/>
        <v>140278.44</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595.76999999999987</v>
      </c>
      <c r="D30" s="94">
        <f>SUM(D14:D29)</f>
        <v>594.83000000000004</v>
      </c>
      <c r="E30" s="94">
        <f>SUM(E14:E29)</f>
        <v>1190.5999999999999</v>
      </c>
      <c r="F30" s="597"/>
      <c r="G30" s="597"/>
      <c r="H30" s="99">
        <f>SUM(H14:H29)</f>
        <v>1260.0954999999999</v>
      </c>
      <c r="I30" s="94">
        <f>SUM(I14:I29)</f>
        <v>6991619.7000000002</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1260.0954999999999</v>
      </c>
      <c r="F46" s="34"/>
      <c r="G46" s="106"/>
      <c r="H46" s="107" t="s">
        <v>98</v>
      </c>
      <c r="I46" s="94">
        <f>SUM(I44,I30)</f>
        <v>6991619.7000000002</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6991619.7000000002</v>
      </c>
      <c r="G51" s="109" t="s">
        <v>6</v>
      </c>
      <c r="H51" s="400">
        <v>5.5899999999999998E-2</v>
      </c>
      <c r="I51" s="101">
        <f>ROUND(F51*H51,2)</f>
        <v>390831.54</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6991619.7000000002</v>
      </c>
      <c r="G52" s="109" t="s">
        <v>6</v>
      </c>
      <c r="H52" s="400">
        <v>1.0699999999999999E-2</v>
      </c>
      <c r="I52" s="101">
        <f>ROUND(F52*H52,2)</f>
        <v>74810.33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465641.87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21.5</v>
      </c>
      <c r="D57" s="143">
        <v>24.61</v>
      </c>
      <c r="E57" s="116">
        <f t="shared" ref="E57:E65" si="10">IF(D$66=0,C57*2,C57+D57)</f>
        <v>46.11</v>
      </c>
      <c r="F57" s="442" t="s">
        <v>437</v>
      </c>
      <c r="G57" s="442">
        <v>251</v>
      </c>
      <c r="H57" s="456">
        <f>'1461'!H57</f>
        <v>1047</v>
      </c>
      <c r="I57" s="101">
        <f>ROUND(E57*H57,2)</f>
        <v>48277.17</v>
      </c>
      <c r="N57" s="633" t="s">
        <v>445</v>
      </c>
      <c r="O57" s="633"/>
      <c r="P57" s="636"/>
      <c r="Q57" s="636"/>
      <c r="R57" s="448" t="s">
        <v>437</v>
      </c>
      <c r="S57" s="448">
        <v>251</v>
      </c>
      <c r="T57" s="459">
        <f>H57</f>
        <v>1047</v>
      </c>
      <c r="U57" s="473">
        <f>ROUND(P57*T57,2)</f>
        <v>0</v>
      </c>
      <c r="V57" s="423"/>
    </row>
    <row r="58" spans="1:22" x14ac:dyDescent="0.25">
      <c r="A58" s="604"/>
      <c r="B58" s="604"/>
      <c r="C58" s="143">
        <v>2.5</v>
      </c>
      <c r="D58" s="143">
        <v>4.12</v>
      </c>
      <c r="E58" s="116">
        <f t="shared" si="10"/>
        <v>6.62</v>
      </c>
      <c r="F58" s="442" t="s">
        <v>437</v>
      </c>
      <c r="G58" s="442">
        <v>252</v>
      </c>
      <c r="H58" s="456">
        <f>'1461'!H58</f>
        <v>3380</v>
      </c>
      <c r="I58" s="101">
        <f t="shared" ref="I58:I65" si="11">ROUND(E58*H58,2)</f>
        <v>22375.599999999999</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0.5</v>
      </c>
      <c r="D59" s="143">
        <v>0.5</v>
      </c>
      <c r="E59" s="116">
        <f t="shared" si="10"/>
        <v>1</v>
      </c>
      <c r="F59" s="442" t="s">
        <v>437</v>
      </c>
      <c r="G59" s="442">
        <v>253</v>
      </c>
      <c r="H59" s="456">
        <f>'1461'!H59</f>
        <v>6896</v>
      </c>
      <c r="I59" s="101">
        <f t="shared" si="11"/>
        <v>6896</v>
      </c>
      <c r="N59" s="634"/>
      <c r="O59" s="634"/>
      <c r="P59" s="637"/>
      <c r="Q59" s="637"/>
      <c r="R59" s="448" t="s">
        <v>437</v>
      </c>
      <c r="S59" s="448">
        <v>253</v>
      </c>
      <c r="T59" s="459">
        <f t="shared" si="12"/>
        <v>6896</v>
      </c>
      <c r="U59" s="473">
        <f t="shared" si="13"/>
        <v>0</v>
      </c>
      <c r="V59" s="423"/>
    </row>
    <row r="60" spans="1:22" x14ac:dyDescent="0.25">
      <c r="A60" s="604"/>
      <c r="B60" s="604"/>
      <c r="C60" s="143">
        <v>33.5</v>
      </c>
      <c r="D60" s="143">
        <v>34.590000000000003</v>
      </c>
      <c r="E60" s="116">
        <f t="shared" si="10"/>
        <v>68.09</v>
      </c>
      <c r="F60" s="443" t="s">
        <v>13</v>
      </c>
      <c r="G60" s="442">
        <v>251</v>
      </c>
      <c r="H60" s="456">
        <f>'1461'!H60</f>
        <v>1173</v>
      </c>
      <c r="I60" s="101">
        <f t="shared" si="11"/>
        <v>79869.570000000007</v>
      </c>
      <c r="N60" s="634"/>
      <c r="O60" s="634"/>
      <c r="P60" s="637"/>
      <c r="Q60" s="637"/>
      <c r="R60" s="40" t="s">
        <v>13</v>
      </c>
      <c r="S60" s="448">
        <v>251</v>
      </c>
      <c r="T60" s="459">
        <f t="shared" si="12"/>
        <v>1173</v>
      </c>
      <c r="U60" s="473">
        <f t="shared" si="13"/>
        <v>0</v>
      </c>
      <c r="V60" s="423"/>
    </row>
    <row r="61" spans="1:22" x14ac:dyDescent="0.25">
      <c r="A61" s="604"/>
      <c r="B61" s="604"/>
      <c r="C61" s="143">
        <v>4</v>
      </c>
      <c r="D61" s="143">
        <v>4.01</v>
      </c>
      <c r="E61" s="116">
        <f t="shared" si="10"/>
        <v>8.01</v>
      </c>
      <c r="F61" s="443" t="s">
        <v>13</v>
      </c>
      <c r="G61" s="442">
        <v>252</v>
      </c>
      <c r="H61" s="456">
        <f>'1461'!H61</f>
        <v>3506</v>
      </c>
      <c r="I61" s="101">
        <f t="shared" si="11"/>
        <v>28083.06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62</v>
      </c>
      <c r="D66" s="97">
        <f>SUM(D57:D65)</f>
        <v>67.830000000000013</v>
      </c>
      <c r="E66" s="97">
        <f>SUM(E57:E65)</f>
        <v>129.82999999999998</v>
      </c>
      <c r="F66" s="605" t="s">
        <v>446</v>
      </c>
      <c r="G66" s="605"/>
      <c r="H66" s="605"/>
      <c r="I66" s="97">
        <f>SUM(I57:I65)</f>
        <v>185501.4</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1190.5999999999999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5.6629999999999996E-3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1260.0954999999999</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5.365E-3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1190.5999999999999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6.3439999999999998E-3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1190.5999999999999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5.672E-3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1190.5999999999999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6.3559999999999997E-3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5.672E-3</v>
      </c>
      <c r="I85" s="101">
        <f>ROUND(F85*H85,2)</f>
        <v>261840.53</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5.6629999999999996E-3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6.3559999999999997E-3</v>
      </c>
      <c r="I90" s="101">
        <f>ROUND(F90*H90,2)</f>
        <v>121031.12</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6.3439999999999998E-3</v>
      </c>
      <c r="I92" s="101">
        <f t="shared" ref="I92:I96" si="14">ROUND(F92*H92,2)</f>
        <v>72582.66</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5.365E-3</v>
      </c>
      <c r="I94" s="101">
        <f t="shared" si="14"/>
        <v>1372135.32</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5.365E-3</v>
      </c>
      <c r="I96" s="101">
        <f t="shared" si="14"/>
        <v>-8506.52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5.6629999999999996E-3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592.50319999999999</v>
      </c>
      <c r="D104" s="611"/>
      <c r="E104" s="46">
        <f>H8</f>
        <v>1.0407999999999999</v>
      </c>
      <c r="F104" s="302">
        <f>'1461'!F104</f>
        <v>950.92</v>
      </c>
      <c r="G104" s="39" t="s">
        <v>12</v>
      </c>
      <c r="H104" s="101">
        <f>ROUND(C104*E104*F104,2)</f>
        <v>586410.81000000006</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667.59230000000002</v>
      </c>
      <c r="D105" s="611"/>
      <c r="E105" s="46">
        <f>H8</f>
        <v>1.0407999999999999</v>
      </c>
      <c r="F105" s="302">
        <f>'1461'!F105</f>
        <v>907.92</v>
      </c>
      <c r="G105" s="39" t="s">
        <v>12</v>
      </c>
      <c r="H105" s="101">
        <f>ROUND(C105*E105*F105,2)</f>
        <v>630850.11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1260.0954999999999</v>
      </c>
      <c r="D107" s="601"/>
      <c r="E107" s="123"/>
      <c r="F107" s="123"/>
      <c r="G107" s="123"/>
      <c r="H107" s="124" t="s">
        <v>100</v>
      </c>
      <c r="I107" s="101">
        <f>IF(A1=75,0,H106+H105+H104)</f>
        <v>1217260.92</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186</v>
      </c>
      <c r="D113" s="143">
        <v>211</v>
      </c>
      <c r="E113" s="116">
        <f>(C113+D113)/2</f>
        <v>198.5</v>
      </c>
      <c r="F113" s="126" t="s">
        <v>30</v>
      </c>
      <c r="G113" s="303">
        <f>'1461'!G113</f>
        <v>567</v>
      </c>
      <c r="I113" s="101">
        <f>ROUND(G113*E113,2)</f>
        <v>112549.5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10326014.630000001</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9860372.7600000016</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9860372.7600000016</v>
      </c>
      <c r="I135" s="94">
        <f>ROUND(IF(E30=0,0,IF(E30&gt;250,-(((250/E30)*H135)*IF(G135="H",0.02,0.05)),IF(G135="H",-0.02*H135,-0.05*H135))),2)</f>
        <v>-103523.15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10222491.48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-1701015.96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8521475.5199999996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852147.55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389495.49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314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J11" s="255"/>
      <c r="K11" s="254"/>
      <c r="L11" s="254"/>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J12" s="253"/>
      <c r="K12" s="254"/>
      <c r="L12" s="254"/>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K13" s="254"/>
      <c r="L13" s="254"/>
      <c r="N13" s="669" t="s">
        <v>36</v>
      </c>
      <c r="O13" s="669"/>
      <c r="P13" s="670" t="s">
        <v>37</v>
      </c>
      <c r="Q13" s="670"/>
      <c r="R13" s="671" t="s">
        <v>38</v>
      </c>
      <c r="S13" s="671"/>
      <c r="T13" s="22" t="s">
        <v>39</v>
      </c>
      <c r="U13" s="23" t="s">
        <v>40</v>
      </c>
    </row>
    <row r="14" spans="1:21" x14ac:dyDescent="0.25">
      <c r="A14" s="591" t="s">
        <v>20</v>
      </c>
      <c r="B14" s="591"/>
      <c r="C14" s="143">
        <v>41.82</v>
      </c>
      <c r="D14" s="141">
        <v>42.32</v>
      </c>
      <c r="E14" s="187">
        <f>IF(D$30=0,C14*2,C14+D14)</f>
        <v>84.14</v>
      </c>
      <c r="F14" s="682">
        <f>'1461'!F14:G14</f>
        <v>1.1180000000000001</v>
      </c>
      <c r="G14" s="682"/>
      <c r="H14" s="145">
        <f>ROUND(E14*F14,4)</f>
        <v>94.0685</v>
      </c>
      <c r="I14" s="111">
        <f>ROUND(ROUND(ROUND(H14*$C$8,4)*($H$8),2)*(MAX($H$9,1)),2)</f>
        <v>521937.57</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1.5</v>
      </c>
      <c r="D15" s="143">
        <v>2.46</v>
      </c>
      <c r="E15" s="116">
        <f t="shared" ref="E15:E29" si="1">IF(D$30=0,C15*2,C15+D15)</f>
        <v>3.96</v>
      </c>
      <c r="F15" s="678">
        <f>'1461'!F15:G15</f>
        <v>1.1180000000000001</v>
      </c>
      <c r="G15" s="678"/>
      <c r="H15" s="80">
        <f t="shared" ref="H15:H29" si="2">ROUND(E15*F15,4)</f>
        <v>4.4272999999999998</v>
      </c>
      <c r="I15" s="101">
        <f t="shared" ref="I15:I29" si="3">ROUND(ROUND(ROUND(H15*$C$8,4)*($H$8),2)*(MAX($H$9,1)),2)</f>
        <v>24564.799999999999</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24.93</v>
      </c>
      <c r="D16" s="143">
        <v>27.76</v>
      </c>
      <c r="E16" s="116">
        <f t="shared" si="1"/>
        <v>52.69</v>
      </c>
      <c r="F16" s="678">
        <f>'1461'!F16:G16</f>
        <v>1</v>
      </c>
      <c r="G16" s="678"/>
      <c r="H16" s="80">
        <f t="shared" si="2"/>
        <v>52.69</v>
      </c>
      <c r="I16" s="101">
        <f t="shared" si="3"/>
        <v>292349.62</v>
      </c>
      <c r="N16" s="616" t="s">
        <v>22</v>
      </c>
      <c r="O16" s="616"/>
      <c r="P16" s="657">
        <f t="shared" si="0"/>
        <v>0</v>
      </c>
      <c r="Q16" s="657"/>
      <c r="R16" s="662">
        <v>1</v>
      </c>
      <c r="S16" s="662"/>
      <c r="T16" s="95">
        <f t="shared" si="4"/>
        <v>0</v>
      </c>
      <c r="U16" s="472">
        <f t="shared" si="5"/>
        <v>0</v>
      </c>
    </row>
    <row r="17" spans="1:21" x14ac:dyDescent="0.25">
      <c r="A17" s="593" t="s">
        <v>23</v>
      </c>
      <c r="B17" s="593"/>
      <c r="C17" s="143">
        <v>2.5</v>
      </c>
      <c r="D17" s="143">
        <v>2.85</v>
      </c>
      <c r="E17" s="116">
        <f t="shared" si="1"/>
        <v>5.35</v>
      </c>
      <c r="F17" s="678">
        <f>'1461'!F17:G17</f>
        <v>1</v>
      </c>
      <c r="G17" s="678"/>
      <c r="H17" s="80">
        <f t="shared" si="2"/>
        <v>5.35</v>
      </c>
      <c r="I17" s="101">
        <f t="shared" si="3"/>
        <v>29684.39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56.18</v>
      </c>
      <c r="D26" s="143">
        <v>61.11</v>
      </c>
      <c r="E26" s="116">
        <f t="shared" si="1"/>
        <v>117.28999999999999</v>
      </c>
      <c r="F26" s="678">
        <f>'1461'!F26:G26</f>
        <v>1.1919999999999999</v>
      </c>
      <c r="G26" s="678"/>
      <c r="H26" s="80">
        <f t="shared" si="2"/>
        <v>139.80969999999999</v>
      </c>
      <c r="I26" s="101">
        <f t="shared" si="3"/>
        <v>775731.88</v>
      </c>
      <c r="N26" s="616" t="s">
        <v>85</v>
      </c>
      <c r="O26" s="616"/>
      <c r="P26" s="657">
        <f t="shared" si="0"/>
        <v>0</v>
      </c>
      <c r="Q26" s="657"/>
      <c r="R26" s="662">
        <v>1</v>
      </c>
      <c r="S26" s="662"/>
      <c r="T26" s="95">
        <f t="shared" si="4"/>
        <v>0</v>
      </c>
      <c r="U26" s="472">
        <f t="shared" si="5"/>
        <v>0</v>
      </c>
    </row>
    <row r="27" spans="1:21" x14ac:dyDescent="0.25">
      <c r="A27" s="593" t="s">
        <v>86</v>
      </c>
      <c r="B27" s="593"/>
      <c r="C27" s="143">
        <v>26.69</v>
      </c>
      <c r="D27" s="143">
        <v>24.84</v>
      </c>
      <c r="E27" s="116">
        <f t="shared" si="1"/>
        <v>51.53</v>
      </c>
      <c r="F27" s="678">
        <f>'1461'!F27:G27</f>
        <v>1.1919999999999999</v>
      </c>
      <c r="G27" s="678"/>
      <c r="H27" s="80">
        <f t="shared" si="2"/>
        <v>61.4238</v>
      </c>
      <c r="I27" s="101">
        <f t="shared" si="3"/>
        <v>340808.97</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153.62</v>
      </c>
      <c r="D30" s="94">
        <f>SUM(D14:D29)+0</f>
        <v>161.34</v>
      </c>
      <c r="E30" s="94">
        <f>SUM(E14:E29)</f>
        <v>314.95999999999992</v>
      </c>
      <c r="F30" s="597"/>
      <c r="G30" s="597"/>
      <c r="H30" s="99">
        <f>SUM(H14:H29)</f>
        <v>357.76930000000004</v>
      </c>
      <c r="I30" s="94">
        <f>SUM(I14:I29)</f>
        <v>1985077.23</v>
      </c>
      <c r="K30" s="236">
        <f>I30-J30</f>
        <v>1985077.23</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357.76930000000004</v>
      </c>
      <c r="F46" s="34"/>
      <c r="G46" s="106"/>
      <c r="H46" s="107" t="s">
        <v>98</v>
      </c>
      <c r="I46" s="94">
        <f>SUM(I44,I30)</f>
        <v>1985077.23</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1985077.23</v>
      </c>
      <c r="G51" s="109" t="s">
        <v>6</v>
      </c>
      <c r="H51" s="400">
        <v>5.5899999999999998E-2</v>
      </c>
      <c r="I51" s="101">
        <f>ROUND(F51*H51,2)</f>
        <v>110965.82</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1985077.23</v>
      </c>
      <c r="G52" s="109" t="s">
        <v>6</v>
      </c>
      <c r="H52" s="400">
        <v>1.0699999999999999E-2</v>
      </c>
      <c r="I52" s="101">
        <f>ROUND(F52*H52,2)</f>
        <v>21240.33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132206.15000000002</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1.5</v>
      </c>
      <c r="D57" s="143">
        <v>2.46</v>
      </c>
      <c r="E57" s="116">
        <f>IF(D$66=0,C57*2,C57+D57)</f>
        <v>3.96</v>
      </c>
      <c r="F57" s="442" t="s">
        <v>437</v>
      </c>
      <c r="G57" s="442">
        <v>251</v>
      </c>
      <c r="H57" s="456">
        <f>'1461'!H57</f>
        <v>1047</v>
      </c>
      <c r="I57" s="101">
        <f>ROUND(E57*H57,2)</f>
        <v>4146.12</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ref="E58:E65" si="10">IF(D$66=0,C58*2,C58+D58)</f>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2.5</v>
      </c>
      <c r="D60" s="143">
        <v>2.85</v>
      </c>
      <c r="E60" s="116">
        <f t="shared" si="10"/>
        <v>5.35</v>
      </c>
      <c r="F60" s="443" t="s">
        <v>13</v>
      </c>
      <c r="G60" s="442">
        <v>251</v>
      </c>
      <c r="H60" s="456">
        <f>'1461'!H60</f>
        <v>1173</v>
      </c>
      <c r="I60" s="101">
        <f t="shared" si="11"/>
        <v>6275.55</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v>
      </c>
      <c r="D66" s="97">
        <f>SUM(D57:D65)</f>
        <v>5.3100000000000005</v>
      </c>
      <c r="E66" s="97">
        <f>SUM(E57:E65)</f>
        <v>9.3099999999999987</v>
      </c>
      <c r="F66" s="605" t="s">
        <v>446</v>
      </c>
      <c r="G66" s="605"/>
      <c r="H66" s="605"/>
      <c r="I66" s="97">
        <f>SUM(I57:I65)</f>
        <v>10421.67</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314.95999999999992</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1.498E-3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357.76930000000004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1.523E-3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314.95999999999992</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1.678E-3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314.95999999999992</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1.5009999999999999E-3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314.95999999999992</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1.681E-3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1.5009999999999999E-3</v>
      </c>
      <c r="I85" s="101">
        <f>ROUND(F85*H85,2)</f>
        <v>69291.72</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1.498E-3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1.681E-3</v>
      </c>
      <c r="I90" s="101">
        <f>ROUND(F90*H90,2)</f>
        <v>32009.65</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1.678E-3</v>
      </c>
      <c r="I92" s="101">
        <f t="shared" ref="I92:I96" si="14">ROUND(F92*H92,2)</f>
        <v>19198.25</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1.523E-3</v>
      </c>
      <c r="I94" s="101">
        <f t="shared" si="14"/>
        <v>389517.63</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1.523E-3</v>
      </c>
      <c r="I96" s="101">
        <f t="shared" si="14"/>
        <v>-2414.81</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1.498E-3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238.30549999999999</v>
      </c>
      <c r="D104" s="611"/>
      <c r="E104" s="46">
        <f>H8</f>
        <v>1.0407999999999999</v>
      </c>
      <c r="F104" s="302">
        <f>'1461'!F104</f>
        <v>950.92</v>
      </c>
      <c r="G104" s="39" t="s">
        <v>12</v>
      </c>
      <c r="H104" s="101">
        <f>ROUND(C104*E104*F104,2)</f>
        <v>235855.13</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119.46379999999999</v>
      </c>
      <c r="D105" s="611"/>
      <c r="E105" s="46">
        <f>H8</f>
        <v>1.0407999999999999</v>
      </c>
      <c r="F105" s="302">
        <f>'1461'!F105</f>
        <v>907.92</v>
      </c>
      <c r="G105" s="39" t="s">
        <v>12</v>
      </c>
      <c r="H105" s="101">
        <f>ROUND(C105*E105*F105,2)</f>
        <v>112888.89</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357.76929999999999</v>
      </c>
      <c r="D107" s="601"/>
      <c r="E107" s="123"/>
      <c r="F107" s="123"/>
      <c r="G107" s="123"/>
      <c r="H107" s="124" t="s">
        <v>100</v>
      </c>
      <c r="I107" s="101">
        <f>IF(A1=75,0,H106+H105+H104)</f>
        <v>348744.02</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16">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2852412.3599999994</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2720206.2099999995</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2720206.2099999995</v>
      </c>
      <c r="I135" s="94">
        <f>ROUND(IF(E30=0,0,IF(E30&gt;250,-(((250/E30)*H135)*IF(G135="H",0.02,0.05)),IF(G135="H",-0.02*H135,-0.05*H135))),2)</f>
        <v>-107958.39999999999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2744453.9599999995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Payments'!Q100</f>
        <v>-456548.66000000003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2287905.2999999993</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228790.53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28051.91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335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J11" s="255"/>
      <c r="K11" s="254"/>
      <c r="L11" s="254"/>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J12" s="253"/>
      <c r="K12" s="254"/>
      <c r="L12" s="254"/>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K13" s="254"/>
      <c r="L13" s="254"/>
      <c r="N13" s="669" t="s">
        <v>36</v>
      </c>
      <c r="O13" s="669"/>
      <c r="P13" s="670" t="s">
        <v>37</v>
      </c>
      <c r="Q13" s="670"/>
      <c r="R13" s="671" t="s">
        <v>38</v>
      </c>
      <c r="S13" s="671"/>
      <c r="T13" s="22" t="s">
        <v>39</v>
      </c>
      <c r="U13" s="23" t="s">
        <v>40</v>
      </c>
    </row>
    <row r="14" spans="1:21" x14ac:dyDescent="0.25">
      <c r="A14" s="591" t="s">
        <v>20</v>
      </c>
      <c r="B14" s="591"/>
      <c r="C14" s="143">
        <v>86.26</v>
      </c>
      <c r="D14" s="141">
        <v>82.93</v>
      </c>
      <c r="E14" s="187">
        <f>IF(D$30=0,C14*2,C14+D14)</f>
        <v>169.19</v>
      </c>
      <c r="F14" s="682">
        <f>'1461'!F14:G14</f>
        <v>1.1180000000000001</v>
      </c>
      <c r="G14" s="682"/>
      <c r="H14" s="145">
        <f>ROUND(E14*F14,4)</f>
        <v>189.15440000000001</v>
      </c>
      <c r="I14" s="111">
        <f>ROUND(ROUND(ROUND(H14*$C$8,4)*($H$8),2)*(MAX($H$9,1)),2)</f>
        <v>1049520.1599999999</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9.5</v>
      </c>
      <c r="D15" s="143">
        <v>8.52</v>
      </c>
      <c r="E15" s="116">
        <f t="shared" ref="E15:E29" si="1">IF(D$30=0,C15*2,C15+D15)</f>
        <v>18.02</v>
      </c>
      <c r="F15" s="678">
        <f>'1461'!F15:G15</f>
        <v>1.1180000000000001</v>
      </c>
      <c r="G15" s="678"/>
      <c r="H15" s="80">
        <f t="shared" ref="H15:H29" si="2">ROUND(E15*F15,4)</f>
        <v>20.1464</v>
      </c>
      <c r="I15" s="101">
        <f t="shared" ref="I15:I29" si="3">ROUND(ROUND(ROUND(H15*$C$8,4)*($H$8),2)*(MAX($H$9,1)),2)</f>
        <v>111781.98</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107.81</v>
      </c>
      <c r="D16" s="143">
        <v>103.57</v>
      </c>
      <c r="E16" s="116">
        <f t="shared" si="1"/>
        <v>211.38</v>
      </c>
      <c r="F16" s="678">
        <f>'1461'!F16:G16</f>
        <v>1</v>
      </c>
      <c r="G16" s="678"/>
      <c r="H16" s="80">
        <f t="shared" si="2"/>
        <v>211.38</v>
      </c>
      <c r="I16" s="101">
        <f t="shared" si="3"/>
        <v>1172838.54</v>
      </c>
      <c r="N16" s="616" t="s">
        <v>22</v>
      </c>
      <c r="O16" s="616"/>
      <c r="P16" s="657">
        <f t="shared" si="0"/>
        <v>0</v>
      </c>
      <c r="Q16" s="657"/>
      <c r="R16" s="662">
        <v>1</v>
      </c>
      <c r="S16" s="662"/>
      <c r="T16" s="95">
        <f t="shared" si="4"/>
        <v>0</v>
      </c>
      <c r="U16" s="472">
        <f t="shared" si="5"/>
        <v>0</v>
      </c>
    </row>
    <row r="17" spans="1:21" x14ac:dyDescent="0.25">
      <c r="A17" s="593" t="s">
        <v>23</v>
      </c>
      <c r="B17" s="593"/>
      <c r="C17" s="143">
        <v>23</v>
      </c>
      <c r="D17" s="143">
        <v>21.01</v>
      </c>
      <c r="E17" s="116">
        <f t="shared" si="1"/>
        <v>44.010000000000005</v>
      </c>
      <c r="F17" s="678">
        <f>'1461'!F17:G17</f>
        <v>1</v>
      </c>
      <c r="G17" s="678"/>
      <c r="H17" s="80">
        <f t="shared" si="2"/>
        <v>44.01</v>
      </c>
      <c r="I17" s="101">
        <f t="shared" si="3"/>
        <v>244188.78</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28.34</v>
      </c>
      <c r="D26" s="143">
        <v>28.39</v>
      </c>
      <c r="E26" s="116">
        <f t="shared" si="1"/>
        <v>56.730000000000004</v>
      </c>
      <c r="F26" s="678">
        <f>'1461'!F26:G26</f>
        <v>1.1919999999999999</v>
      </c>
      <c r="G26" s="678"/>
      <c r="H26" s="80">
        <f t="shared" si="2"/>
        <v>67.622200000000007</v>
      </c>
      <c r="I26" s="101">
        <f t="shared" si="3"/>
        <v>375200.69</v>
      </c>
      <c r="N26" s="616" t="s">
        <v>85</v>
      </c>
      <c r="O26" s="616"/>
      <c r="P26" s="657">
        <f t="shared" si="0"/>
        <v>0</v>
      </c>
      <c r="Q26" s="657"/>
      <c r="R26" s="662">
        <v>1</v>
      </c>
      <c r="S26" s="662"/>
      <c r="T26" s="95">
        <f t="shared" si="4"/>
        <v>0</v>
      </c>
      <c r="U26" s="472">
        <f t="shared" si="5"/>
        <v>0</v>
      </c>
    </row>
    <row r="27" spans="1:21" x14ac:dyDescent="0.25">
      <c r="A27" s="593" t="s">
        <v>86</v>
      </c>
      <c r="B27" s="593"/>
      <c r="C27" s="143">
        <v>15.19</v>
      </c>
      <c r="D27" s="143">
        <v>17.52</v>
      </c>
      <c r="E27" s="116">
        <f t="shared" si="1"/>
        <v>32.71</v>
      </c>
      <c r="F27" s="678">
        <f>'1461'!F27:G27</f>
        <v>1.1919999999999999</v>
      </c>
      <c r="G27" s="678"/>
      <c r="H27" s="80">
        <f t="shared" si="2"/>
        <v>38.990299999999998</v>
      </c>
      <c r="I27" s="101">
        <f t="shared" si="3"/>
        <v>216337.06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270.10000000000002</v>
      </c>
      <c r="D30" s="94">
        <f>SUM(D14:D29)</f>
        <v>261.93999999999994</v>
      </c>
      <c r="E30" s="94">
        <f>SUM(E14:E29)</f>
        <v>532.04000000000008</v>
      </c>
      <c r="F30" s="597"/>
      <c r="G30" s="597"/>
      <c r="H30" s="99">
        <f>SUM(H14:H29)</f>
        <v>571.30330000000004</v>
      </c>
      <c r="I30" s="94">
        <f>SUM(I14:I29)</f>
        <v>3169867.2099999995</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571.30330000000004</v>
      </c>
      <c r="F46" s="34"/>
      <c r="G46" s="106"/>
      <c r="H46" s="107" t="s">
        <v>98</v>
      </c>
      <c r="I46" s="94">
        <f>SUM(I44,I30)</f>
        <v>3169867.2099999995</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3169867.2099999995</v>
      </c>
      <c r="G51" s="109" t="s">
        <v>6</v>
      </c>
      <c r="H51" s="400">
        <v>5.5899999999999998E-2</v>
      </c>
      <c r="I51" s="101">
        <f>ROUND(F51*H51,2)</f>
        <v>177195.58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3169867.2099999995</v>
      </c>
      <c r="G52" s="109" t="s">
        <v>6</v>
      </c>
      <c r="H52" s="400">
        <v>1.0699999999999999E-2</v>
      </c>
      <c r="I52" s="101">
        <f>ROUND(F52*H52,2)</f>
        <v>33917.58</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211113.15999999997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9</v>
      </c>
      <c r="D57" s="143">
        <v>8.52</v>
      </c>
      <c r="E57" s="116">
        <f t="shared" ref="E57:E65" si="10">IF(D$66=0,C57*2,C57+D57)</f>
        <v>17.52</v>
      </c>
      <c r="F57" s="442" t="s">
        <v>437</v>
      </c>
      <c r="G57" s="442">
        <v>251</v>
      </c>
      <c r="H57" s="456">
        <f>'1461'!H57</f>
        <v>1047</v>
      </c>
      <c r="I57" s="101">
        <f>ROUND(E57*H57,2)</f>
        <v>18343.439999999999</v>
      </c>
      <c r="N57" s="633" t="s">
        <v>445</v>
      </c>
      <c r="O57" s="633"/>
      <c r="P57" s="636"/>
      <c r="Q57" s="636"/>
      <c r="R57" s="448" t="s">
        <v>437</v>
      </c>
      <c r="S57" s="448">
        <v>251</v>
      </c>
      <c r="T57" s="459">
        <f>H57</f>
        <v>1047</v>
      </c>
      <c r="U57" s="473">
        <f>ROUND(P57*T57,2)</f>
        <v>0</v>
      </c>
      <c r="V57" s="423"/>
    </row>
    <row r="58" spans="1:22" x14ac:dyDescent="0.25">
      <c r="A58" s="604"/>
      <c r="B58" s="604"/>
      <c r="C58" s="143">
        <v>0.5</v>
      </c>
      <c r="D58" s="143">
        <v>0</v>
      </c>
      <c r="E58" s="116">
        <f t="shared" si="10"/>
        <v>0.5</v>
      </c>
      <c r="F58" s="442" t="s">
        <v>437</v>
      </c>
      <c r="G58" s="442">
        <v>252</v>
      </c>
      <c r="H58" s="456">
        <f>'1461'!H58</f>
        <v>3380</v>
      </c>
      <c r="I58" s="101">
        <f t="shared" ref="I58:I65" si="11">ROUND(E58*H58,2)</f>
        <v>1690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21</v>
      </c>
      <c r="D60" s="143">
        <v>17.989999999999998</v>
      </c>
      <c r="E60" s="116">
        <f t="shared" si="10"/>
        <v>38.989999999999995</v>
      </c>
      <c r="F60" s="443" t="s">
        <v>13</v>
      </c>
      <c r="G60" s="442">
        <v>251</v>
      </c>
      <c r="H60" s="456">
        <f>'1461'!H60</f>
        <v>1173</v>
      </c>
      <c r="I60" s="101">
        <f t="shared" si="11"/>
        <v>45735.27</v>
      </c>
      <c r="N60" s="634"/>
      <c r="O60" s="634"/>
      <c r="P60" s="637"/>
      <c r="Q60" s="637"/>
      <c r="R60" s="40" t="s">
        <v>13</v>
      </c>
      <c r="S60" s="448">
        <v>251</v>
      </c>
      <c r="T60" s="459">
        <f t="shared" si="12"/>
        <v>1173</v>
      </c>
      <c r="U60" s="473">
        <f t="shared" si="13"/>
        <v>0</v>
      </c>
      <c r="V60" s="423"/>
    </row>
    <row r="61" spans="1:22" x14ac:dyDescent="0.25">
      <c r="A61" s="604"/>
      <c r="B61" s="604"/>
      <c r="C61" s="143">
        <v>2</v>
      </c>
      <c r="D61" s="143">
        <v>3.02</v>
      </c>
      <c r="E61" s="116">
        <f t="shared" si="10"/>
        <v>5.0199999999999996</v>
      </c>
      <c r="F61" s="443" t="s">
        <v>13</v>
      </c>
      <c r="G61" s="442">
        <v>252</v>
      </c>
      <c r="H61" s="456">
        <f>'1461'!H61</f>
        <v>3506</v>
      </c>
      <c r="I61" s="101">
        <f t="shared" si="11"/>
        <v>17600.12</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32.5</v>
      </c>
      <c r="D66" s="97">
        <f>SUM(D57:D65)</f>
        <v>29.529999999999998</v>
      </c>
      <c r="E66" s="97">
        <f>SUM(E57:E65)</f>
        <v>62.029999999999987</v>
      </c>
      <c r="F66" s="605" t="s">
        <v>446</v>
      </c>
      <c r="G66" s="605"/>
      <c r="H66" s="605"/>
      <c r="I66" s="97">
        <f>SUM(I57:I65)</f>
        <v>83368.829999999987</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532.04000000000008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2.5309999999999998E-3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571.30330000000004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2.4320000000000001E-3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532.04000000000008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2.8349999999999998E-3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532.04000000000008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2.5349999999999999E-3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532.04000000000008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2.8400000000000001E-3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2.5349999999999999E-3</v>
      </c>
      <c r="I85" s="101">
        <f>ROUND(F85*H85,2)</f>
        <v>117024.99</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2.5309999999999998E-3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2.8400000000000001E-3</v>
      </c>
      <c r="I90" s="101">
        <f>ROUND(F90*H90,2)</f>
        <v>54079.35</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2.8349999999999998E-3</v>
      </c>
      <c r="I92" s="101">
        <f t="shared" ref="I92:I96" si="14">ROUND(F92*H92,2)</f>
        <v>32435.66</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2.4320000000000001E-3</v>
      </c>
      <c r="I94" s="101">
        <f t="shared" si="14"/>
        <v>622000.57999999996</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2.4320000000000001E-3</v>
      </c>
      <c r="I96" s="101">
        <f t="shared" si="14"/>
        <v>-3856.08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2.5309999999999998E-3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276.923</v>
      </c>
      <c r="D104" s="611"/>
      <c r="E104" s="46">
        <f>H8</f>
        <v>1.0407999999999999</v>
      </c>
      <c r="F104" s="302">
        <f>'1461'!F104</f>
        <v>950.92</v>
      </c>
      <c r="G104" s="39" t="s">
        <v>12</v>
      </c>
      <c r="H104" s="101">
        <f>ROUND(C104*E104*F104,2)</f>
        <v>274075.55</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294.38029999999998</v>
      </c>
      <c r="D105" s="611"/>
      <c r="E105" s="46">
        <f>H8</f>
        <v>1.0407999999999999</v>
      </c>
      <c r="F105" s="302">
        <f>'1461'!F105</f>
        <v>907.92</v>
      </c>
      <c r="G105" s="39" t="s">
        <v>12</v>
      </c>
      <c r="H105" s="101">
        <f>ROUND(C105*E105*F105,2)</f>
        <v>278178.53000000003</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571.30330000000004</v>
      </c>
      <c r="D107" s="601"/>
      <c r="E107" s="123"/>
      <c r="F107" s="123"/>
      <c r="G107" s="123"/>
      <c r="H107" s="124" t="s">
        <v>100</v>
      </c>
      <c r="I107" s="101">
        <f>IF(A1=75,0,H106+H105+H104)</f>
        <v>552254.08000000007</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16">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4627741.62</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4416628.46</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4416628.46</v>
      </c>
      <c r="I135" s="94">
        <f>ROUND(IF(E30=0,0,IF(E30&gt;250,-(((250/E30)*H135)*IF(G135="H",0.02,0.05)),IF(G135="H",-0.02*H135,-0.05*H135))),2)</f>
        <v>-103766.36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4523975.26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Payments'!Q101</f>
        <v>-752663.52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266">
        <f>I137+I139</f>
        <v>3771311.7399999998</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248</v>
      </c>
      <c r="B143" s="69"/>
      <c r="C143" s="69"/>
      <c r="D143" s="69"/>
      <c r="E143" s="69"/>
      <c r="F143" s="69"/>
      <c r="G143" s="69"/>
      <c r="H143" s="65"/>
      <c r="I143" s="273">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377131.17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117065.06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133</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34.07</v>
      </c>
      <c r="D16" s="143">
        <v>34.06</v>
      </c>
      <c r="E16" s="116">
        <f t="shared" si="1"/>
        <v>68.13</v>
      </c>
      <c r="F16" s="678">
        <f>'1461'!F16:G16</f>
        <v>1</v>
      </c>
      <c r="G16" s="678"/>
      <c r="H16" s="80">
        <f t="shared" si="2"/>
        <v>68.13</v>
      </c>
      <c r="I16" s="101">
        <f t="shared" si="3"/>
        <v>378018.21</v>
      </c>
      <c r="N16" s="616" t="s">
        <v>22</v>
      </c>
      <c r="O16" s="616"/>
      <c r="P16" s="657">
        <f t="shared" si="0"/>
        <v>0</v>
      </c>
      <c r="Q16" s="657"/>
      <c r="R16" s="662">
        <v>1</v>
      </c>
      <c r="S16" s="662"/>
      <c r="T16" s="95">
        <f t="shared" si="4"/>
        <v>0</v>
      </c>
      <c r="U16" s="472">
        <f t="shared" si="5"/>
        <v>0</v>
      </c>
    </row>
    <row r="17" spans="1:21" x14ac:dyDescent="0.25">
      <c r="A17" s="593" t="s">
        <v>23</v>
      </c>
      <c r="B17" s="593"/>
      <c r="C17" s="143">
        <v>11</v>
      </c>
      <c r="D17" s="143">
        <v>10.72</v>
      </c>
      <c r="E17" s="116">
        <f t="shared" si="1"/>
        <v>21.72</v>
      </c>
      <c r="F17" s="678">
        <f>'1461'!F17:G17</f>
        <v>1</v>
      </c>
      <c r="G17" s="678"/>
      <c r="H17" s="80">
        <f t="shared" si="2"/>
        <v>21.72</v>
      </c>
      <c r="I17" s="101">
        <f t="shared" si="3"/>
        <v>120513.07</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0.43</v>
      </c>
      <c r="D27" s="143">
        <v>0.43</v>
      </c>
      <c r="E27" s="116">
        <f t="shared" si="1"/>
        <v>0.86</v>
      </c>
      <c r="F27" s="678">
        <f>'1461'!F27:G27</f>
        <v>1.1919999999999999</v>
      </c>
      <c r="G27" s="678"/>
      <c r="H27" s="80">
        <f t="shared" si="2"/>
        <v>1.0250999999999999</v>
      </c>
      <c r="I27" s="101">
        <f t="shared" si="3"/>
        <v>5687.75</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45.5</v>
      </c>
      <c r="D30" s="94">
        <f>SUM(D14:D29)</f>
        <v>45.21</v>
      </c>
      <c r="E30" s="94">
        <f>SUM(E14:E29)</f>
        <v>90.71</v>
      </c>
      <c r="F30" s="597"/>
      <c r="G30" s="597"/>
      <c r="H30" s="99">
        <f>SUM(H14:H29)</f>
        <v>90.875099999999989</v>
      </c>
      <c r="I30" s="94">
        <f>SUM(I14:I29)</f>
        <v>504219.03</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90.875099999999989</v>
      </c>
      <c r="F46" s="34"/>
      <c r="G46" s="106"/>
      <c r="H46" s="107" t="s">
        <v>98</v>
      </c>
      <c r="I46" s="94">
        <f>SUM(I44,I30)</f>
        <v>504219.03</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504219.03</v>
      </c>
      <c r="G51" s="109" t="s">
        <v>6</v>
      </c>
      <c r="H51" s="400">
        <v>5.5899999999999998E-2</v>
      </c>
      <c r="I51" s="101">
        <f>ROUND(F51*H51,2)</f>
        <v>28185.84</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504219.03</v>
      </c>
      <c r="G52" s="109" t="s">
        <v>6</v>
      </c>
      <c r="H52" s="400">
        <v>1.0699999999999999E-2</v>
      </c>
      <c r="I52" s="101">
        <f>ROUND(F52*H52,2)</f>
        <v>5395.14</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33580.980000000003</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11</v>
      </c>
      <c r="D60" s="143">
        <v>10.72</v>
      </c>
      <c r="E60" s="116">
        <f t="shared" si="10"/>
        <v>21.72</v>
      </c>
      <c r="F60" s="443" t="s">
        <v>13</v>
      </c>
      <c r="G60" s="442">
        <v>251</v>
      </c>
      <c r="H60" s="456">
        <f>'1461'!H60</f>
        <v>1173</v>
      </c>
      <c r="I60" s="101">
        <f t="shared" si="11"/>
        <v>25477.56</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11</v>
      </c>
      <c r="D66" s="97">
        <f>SUM(D57:D65)</f>
        <v>10.72</v>
      </c>
      <c r="E66" s="97">
        <f>SUM(E57:E65)</f>
        <v>21.72</v>
      </c>
      <c r="F66" s="605" t="s">
        <v>446</v>
      </c>
      <c r="G66" s="605"/>
      <c r="H66" s="605"/>
      <c r="I66" s="97">
        <f>SUM(I57:I65)</f>
        <v>25477.56</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90.71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4.3100000000000001E-4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90.875099999999989</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3.8699999999999997E-4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90.71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4.8299999999999998E-4</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90.71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4.3199999999999998E-4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90.71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4.84E-4</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4.3199999999999998E-4</v>
      </c>
      <c r="I85" s="101">
        <f>ROUND(F85*H85,2)</f>
        <v>19942.72</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4.3100000000000001E-4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4.84E-4</v>
      </c>
      <c r="I90" s="101">
        <f>ROUND(F90*H90,2)</f>
        <v>9216.34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4.8299999999999998E-4</v>
      </c>
      <c r="I92" s="101">
        <f t="shared" ref="I92:I96" si="14">ROUND(F92*H92,2)</f>
        <v>5526.08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3.8699999999999997E-4</v>
      </c>
      <c r="I94" s="101">
        <f t="shared" si="14"/>
        <v>98977.89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3.8699999999999997E-4</v>
      </c>
      <c r="I96" s="101">
        <f t="shared" si="14"/>
        <v>-613.61</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4.3100000000000001E-4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90.875099999999989</v>
      </c>
      <c r="D105" s="611"/>
      <c r="E105" s="46">
        <f>H8</f>
        <v>1.0407999999999999</v>
      </c>
      <c r="F105" s="302">
        <f>'1461'!F105</f>
        <v>907.92</v>
      </c>
      <c r="G105" s="39" t="s">
        <v>12</v>
      </c>
      <c r="H105" s="101">
        <f>ROUND(C105*E105*F105,2)</f>
        <v>85873.62</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90.875099999999989</v>
      </c>
      <c r="D107" s="601"/>
      <c r="E107" s="123"/>
      <c r="F107" s="123"/>
      <c r="G107" s="123"/>
      <c r="H107" s="124" t="s">
        <v>100</v>
      </c>
      <c r="I107" s="101">
        <f>IF(A1=75,0,H106+H105+H104)</f>
        <v>85873.62</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748619.63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715038.65</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715038.65</v>
      </c>
      <c r="I135" s="94">
        <f>ROUND(IF(E30=0,0,IF(E30&gt;250,-(((250/E30)*H135)*IF(G135="H",0.02,0.05)),IF(G135="H",-0.02*H135,-0.05*H135))),2)</f>
        <v>-14300.77</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734318.86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-122175.79000000001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612143.06999999995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61214.31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19"/>
  <sheetViews>
    <sheetView workbookViewId="0">
      <selection activeCell="G48" sqref="G48"/>
    </sheetView>
  </sheetViews>
  <sheetFormatPr defaultColWidth="9.140625" defaultRowHeight="15" x14ac:dyDescent="0.25"/>
  <cols>
    <col min="1" max="1" width="9.140625" style="505"/>
    <col min="2" max="2" width="9.140625" style="506"/>
    <col min="3" max="3" width="43.42578125" style="505" bestFit="1" customWidth="1"/>
    <col min="4" max="4" width="16.28515625" style="507" bestFit="1" customWidth="1"/>
    <col min="5" max="5" width="15.140625" style="507" bestFit="1" customWidth="1"/>
    <col min="6" max="7" width="15.140625" style="505" bestFit="1" customWidth="1"/>
    <col min="8" max="9" width="14.28515625" style="505" bestFit="1" customWidth="1"/>
    <col min="10" max="10" width="16.85546875" style="505" bestFit="1" customWidth="1"/>
    <col min="11" max="11" width="14.140625" style="518" customWidth="1"/>
    <col min="12" max="16" width="14" style="505" bestFit="1" customWidth="1"/>
    <col min="17" max="17" width="15.28515625" style="505" bestFit="1" customWidth="1"/>
    <col min="18" max="18" width="15" style="505" bestFit="1" customWidth="1"/>
    <col min="19" max="16384" width="9.140625" style="505"/>
  </cols>
  <sheetData>
    <row r="1" spans="1:18" x14ac:dyDescent="0.25">
      <c r="A1" s="523" t="s">
        <v>494</v>
      </c>
    </row>
    <row r="2" spans="1:18" x14ac:dyDescent="0.25">
      <c r="C2" s="538" t="s">
        <v>512</v>
      </c>
      <c r="D2" s="555"/>
      <c r="E2" s="555"/>
      <c r="F2" s="538"/>
      <c r="G2" s="538"/>
    </row>
    <row r="4" spans="1:18" s="513" customFormat="1" ht="45" x14ac:dyDescent="0.25">
      <c r="A4" s="513" t="s">
        <v>310</v>
      </c>
      <c r="B4" s="514" t="s">
        <v>310</v>
      </c>
      <c r="C4" s="513" t="s">
        <v>310</v>
      </c>
      <c r="D4" s="524" t="s">
        <v>290</v>
      </c>
      <c r="E4" s="524" t="s">
        <v>475</v>
      </c>
      <c r="F4" s="514" t="s">
        <v>476</v>
      </c>
      <c r="G4" s="514" t="s">
        <v>477</v>
      </c>
      <c r="H4" s="514" t="s">
        <v>478</v>
      </c>
      <c r="I4" s="514" t="s">
        <v>479</v>
      </c>
      <c r="J4" s="514" t="s">
        <v>480</v>
      </c>
      <c r="K4" s="525" t="s">
        <v>481</v>
      </c>
      <c r="L4" s="514" t="s">
        <v>482</v>
      </c>
      <c r="M4" s="514" t="s">
        <v>483</v>
      </c>
      <c r="N4" s="514" t="s">
        <v>484</v>
      </c>
      <c r="O4" s="514" t="s">
        <v>485</v>
      </c>
      <c r="P4" s="514" t="s">
        <v>486</v>
      </c>
      <c r="Q4" s="514" t="s">
        <v>8</v>
      </c>
      <c r="R4" s="515" t="s">
        <v>488</v>
      </c>
    </row>
    <row r="5" spans="1:18" x14ac:dyDescent="0.25">
      <c r="A5" s="505">
        <v>1</v>
      </c>
      <c r="B5" s="506" t="s">
        <v>159</v>
      </c>
      <c r="C5" s="505" t="s">
        <v>191</v>
      </c>
      <c r="D5" s="507">
        <v>6536346.29</v>
      </c>
      <c r="E5" s="507">
        <v>543134.93000000005</v>
      </c>
      <c r="F5" s="539">
        <v>544837.4</v>
      </c>
      <c r="G5" s="539">
        <v>544837.4</v>
      </c>
      <c r="H5" s="539"/>
      <c r="I5" s="539"/>
      <c r="J5" s="539"/>
      <c r="K5" s="540"/>
      <c r="L5" s="541"/>
      <c r="M5" s="541"/>
      <c r="N5" s="508"/>
      <c r="O5" s="537"/>
      <c r="P5" s="537"/>
      <c r="Q5" s="508">
        <f>SUM(E5:P5)</f>
        <v>1632809.73</v>
      </c>
      <c r="R5" s="519">
        <f>SUM(E5:F5)</f>
        <v>1087972.33</v>
      </c>
    </row>
    <row r="6" spans="1:18" x14ac:dyDescent="0.25">
      <c r="A6" s="505">
        <v>2</v>
      </c>
      <c r="B6" s="506" t="s">
        <v>160</v>
      </c>
      <c r="C6" s="505" t="s">
        <v>193</v>
      </c>
      <c r="D6" s="507">
        <v>8954002.2100000009</v>
      </c>
      <c r="E6" s="539">
        <v>744106.29</v>
      </c>
      <c r="F6" s="539">
        <v>746335.74</v>
      </c>
      <c r="G6" s="539">
        <v>746356.02</v>
      </c>
      <c r="H6" s="539"/>
      <c r="I6" s="539"/>
      <c r="J6" s="539"/>
      <c r="K6" s="540"/>
      <c r="L6" s="541"/>
      <c r="M6" s="541"/>
      <c r="N6" s="508"/>
      <c r="O6" s="537"/>
      <c r="P6" s="537"/>
      <c r="Q6" s="508">
        <f t="shared" ref="Q6:Q50" si="0">SUM(E6:P6)</f>
        <v>2236798.0499999998</v>
      </c>
      <c r="R6" s="519">
        <f t="shared" ref="R6:R51" si="1">SUM(E6:F6)</f>
        <v>1490442.03</v>
      </c>
    </row>
    <row r="7" spans="1:18" x14ac:dyDescent="0.25">
      <c r="A7" s="505">
        <v>3</v>
      </c>
      <c r="B7" s="506" t="s">
        <v>161</v>
      </c>
      <c r="C7" s="505" t="s">
        <v>194</v>
      </c>
      <c r="D7" s="507">
        <v>1156996.3399999999</v>
      </c>
      <c r="E7" s="539">
        <v>96199.14</v>
      </c>
      <c r="F7" s="539">
        <v>96422.86</v>
      </c>
      <c r="G7" s="539">
        <v>96437.43</v>
      </c>
      <c r="H7" s="539"/>
      <c r="I7" s="539"/>
      <c r="J7" s="539"/>
      <c r="K7" s="540"/>
      <c r="L7" s="541"/>
      <c r="M7" s="541"/>
      <c r="N7" s="508"/>
      <c r="O7" s="537"/>
      <c r="P7" s="537"/>
      <c r="Q7" s="508">
        <f t="shared" si="0"/>
        <v>289059.43</v>
      </c>
      <c r="R7" s="519">
        <f t="shared" si="1"/>
        <v>192622</v>
      </c>
    </row>
    <row r="8" spans="1:18" x14ac:dyDescent="0.25">
      <c r="A8" s="551">
        <v>4</v>
      </c>
      <c r="B8" s="552" t="s">
        <v>162</v>
      </c>
      <c r="C8" s="551" t="s">
        <v>195</v>
      </c>
      <c r="D8" s="553">
        <v>952630.63</v>
      </c>
      <c r="E8" s="554">
        <v>79086.62</v>
      </c>
      <c r="F8" s="554">
        <v>79408.67</v>
      </c>
      <c r="G8" s="557">
        <f>79413.53+33368.87</f>
        <v>112782.39999999999</v>
      </c>
      <c r="H8" s="539"/>
      <c r="I8" s="539"/>
      <c r="J8" s="539"/>
      <c r="K8" s="540"/>
      <c r="L8" s="541"/>
      <c r="M8" s="541"/>
      <c r="N8" s="508"/>
      <c r="O8" s="537"/>
      <c r="P8" s="537"/>
      <c r="Q8" s="508">
        <f t="shared" si="0"/>
        <v>271277.68999999994</v>
      </c>
      <c r="R8" s="519">
        <f t="shared" si="1"/>
        <v>158495.28999999998</v>
      </c>
    </row>
    <row r="9" spans="1:18" x14ac:dyDescent="0.25">
      <c r="A9" s="505">
        <v>5</v>
      </c>
      <c r="B9" s="506" t="s">
        <v>163</v>
      </c>
      <c r="C9" s="505" t="s">
        <v>291</v>
      </c>
      <c r="D9" s="507">
        <v>4497282.9700000007</v>
      </c>
      <c r="E9" s="539">
        <v>373318.84</v>
      </c>
      <c r="F9" s="539">
        <v>374880.45</v>
      </c>
      <c r="G9" s="539">
        <v>374908.37</v>
      </c>
      <c r="H9" s="539"/>
      <c r="I9" s="539"/>
      <c r="J9" s="539"/>
      <c r="K9" s="540"/>
      <c r="L9" s="541"/>
      <c r="M9" s="541"/>
      <c r="N9" s="508"/>
      <c r="O9" s="537"/>
      <c r="P9" s="537"/>
      <c r="Q9" s="508">
        <f>SUM(E9:P9)</f>
        <v>1123107.6600000001</v>
      </c>
      <c r="R9" s="519">
        <f t="shared" si="1"/>
        <v>748199.29</v>
      </c>
    </row>
    <row r="10" spans="1:18" x14ac:dyDescent="0.25">
      <c r="A10" s="505">
        <v>6</v>
      </c>
      <c r="B10" s="506" t="s">
        <v>164</v>
      </c>
      <c r="C10" s="505" t="s">
        <v>359</v>
      </c>
      <c r="D10" s="507">
        <v>5276375.03</v>
      </c>
      <c r="E10" s="539">
        <v>438241.71</v>
      </c>
      <c r="F10" s="539">
        <v>439779.53</v>
      </c>
      <c r="G10" s="539">
        <v>439835.38</v>
      </c>
      <c r="H10" s="539"/>
      <c r="I10" s="539"/>
      <c r="J10" s="539"/>
      <c r="K10" s="540"/>
      <c r="L10" s="541"/>
      <c r="M10" s="541"/>
      <c r="N10" s="508"/>
      <c r="O10" s="537"/>
      <c r="P10" s="537"/>
      <c r="Q10" s="508">
        <f t="shared" si="0"/>
        <v>1317856.6200000001</v>
      </c>
      <c r="R10" s="519">
        <f t="shared" si="1"/>
        <v>878021.24</v>
      </c>
    </row>
    <row r="11" spans="1:18" x14ac:dyDescent="0.25">
      <c r="A11" s="505">
        <v>7</v>
      </c>
      <c r="B11" s="506" t="s">
        <v>165</v>
      </c>
      <c r="C11" s="505" t="s">
        <v>197</v>
      </c>
      <c r="D11" s="507">
        <v>5522509.1100000003</v>
      </c>
      <c r="E11" s="539">
        <v>458554.15</v>
      </c>
      <c r="F11" s="539">
        <v>460340.26</v>
      </c>
      <c r="G11" s="539">
        <v>460361.47</v>
      </c>
      <c r="H11" s="539"/>
      <c r="I11" s="539"/>
      <c r="J11" s="539"/>
      <c r="K11" s="540"/>
      <c r="L11" s="541"/>
      <c r="M11" s="541"/>
      <c r="N11" s="508"/>
      <c r="O11" s="537"/>
      <c r="P11" s="537"/>
      <c r="Q11" s="508">
        <f t="shared" si="0"/>
        <v>1379255.88</v>
      </c>
      <c r="R11" s="519">
        <f t="shared" si="1"/>
        <v>918894.41</v>
      </c>
    </row>
    <row r="12" spans="1:18" x14ac:dyDescent="0.25">
      <c r="A12" s="505">
        <v>8</v>
      </c>
      <c r="B12" s="506" t="s">
        <v>166</v>
      </c>
      <c r="C12" s="505" t="s">
        <v>198</v>
      </c>
      <c r="D12" s="507">
        <v>10439268.750000002</v>
      </c>
      <c r="E12" s="539">
        <v>866760.71</v>
      </c>
      <c r="F12" s="539">
        <v>870181.98</v>
      </c>
      <c r="G12" s="539">
        <v>870232.61</v>
      </c>
      <c r="H12" s="539"/>
      <c r="I12" s="539"/>
      <c r="J12" s="539"/>
      <c r="K12" s="540"/>
      <c r="L12" s="541"/>
      <c r="M12" s="541"/>
      <c r="N12" s="508"/>
      <c r="O12" s="537"/>
      <c r="P12" s="537"/>
      <c r="Q12" s="508">
        <f t="shared" si="0"/>
        <v>2607175.2999999998</v>
      </c>
      <c r="R12" s="519">
        <f t="shared" si="1"/>
        <v>1736942.69</v>
      </c>
    </row>
    <row r="13" spans="1:18" x14ac:dyDescent="0.25">
      <c r="A13" s="505">
        <v>9</v>
      </c>
      <c r="B13" s="506" t="s">
        <v>167</v>
      </c>
      <c r="C13" s="505" t="s">
        <v>366</v>
      </c>
      <c r="D13" s="507">
        <v>5036162.8499999987</v>
      </c>
      <c r="E13" s="539">
        <v>418062.5</v>
      </c>
      <c r="F13" s="539">
        <v>419801.64</v>
      </c>
      <c r="G13" s="539">
        <v>419829.87</v>
      </c>
      <c r="H13" s="539"/>
      <c r="I13" s="539"/>
      <c r="J13" s="539"/>
      <c r="K13" s="540"/>
      <c r="L13" s="541"/>
      <c r="M13" s="541"/>
      <c r="N13" s="508"/>
      <c r="O13" s="537"/>
      <c r="P13" s="537"/>
      <c r="Q13" s="508">
        <f t="shared" si="0"/>
        <v>1257694.01</v>
      </c>
      <c r="R13" s="519">
        <f t="shared" si="1"/>
        <v>837864.14</v>
      </c>
    </row>
    <row r="14" spans="1:18" x14ac:dyDescent="0.25">
      <c r="A14" s="505">
        <v>10</v>
      </c>
      <c r="B14" s="506" t="s">
        <v>168</v>
      </c>
      <c r="C14" s="505" t="s">
        <v>365</v>
      </c>
      <c r="D14" s="507">
        <v>1027302.7600000002</v>
      </c>
      <c r="E14" s="539">
        <v>85480.95</v>
      </c>
      <c r="F14" s="539">
        <v>85606.82</v>
      </c>
      <c r="G14" s="539">
        <v>85621.5</v>
      </c>
      <c r="H14" s="539"/>
      <c r="I14" s="539"/>
      <c r="J14" s="539"/>
      <c r="K14" s="540"/>
      <c r="L14" s="541"/>
      <c r="M14" s="541"/>
      <c r="N14" s="508"/>
      <c r="O14" s="537"/>
      <c r="P14" s="537"/>
      <c r="Q14" s="508">
        <f t="shared" si="0"/>
        <v>256709.27000000002</v>
      </c>
      <c r="R14" s="519">
        <f t="shared" si="1"/>
        <v>171087.77000000002</v>
      </c>
    </row>
    <row r="15" spans="1:18" x14ac:dyDescent="0.25">
      <c r="A15" s="505">
        <v>11</v>
      </c>
      <c r="B15" s="506" t="s">
        <v>169</v>
      </c>
      <c r="C15" s="505" t="s">
        <v>201</v>
      </c>
      <c r="D15" s="507">
        <v>9060531.1699999999</v>
      </c>
      <c r="E15" s="539">
        <v>752379.59</v>
      </c>
      <c r="F15" s="539">
        <v>755267.04</v>
      </c>
      <c r="G15" s="539">
        <v>755288.45</v>
      </c>
      <c r="H15" s="539"/>
      <c r="I15" s="539"/>
      <c r="J15" s="539"/>
      <c r="K15" s="540"/>
      <c r="L15" s="541"/>
      <c r="M15" s="541"/>
      <c r="N15" s="508"/>
      <c r="O15" s="537"/>
      <c r="P15" s="537"/>
      <c r="Q15" s="508">
        <f t="shared" si="0"/>
        <v>2262935.08</v>
      </c>
      <c r="R15" s="519">
        <f t="shared" si="1"/>
        <v>1507646.63</v>
      </c>
    </row>
    <row r="16" spans="1:18" x14ac:dyDescent="0.25">
      <c r="A16" s="505">
        <v>12</v>
      </c>
      <c r="B16" s="506" t="s">
        <v>170</v>
      </c>
      <c r="C16" s="505" t="s">
        <v>203</v>
      </c>
      <c r="D16" s="507">
        <v>2212408.3500000006</v>
      </c>
      <c r="E16" s="539">
        <v>183876.95</v>
      </c>
      <c r="F16" s="539">
        <v>184363.53</v>
      </c>
      <c r="G16" s="539">
        <v>184416.79</v>
      </c>
      <c r="H16" s="539"/>
      <c r="I16" s="539"/>
      <c r="J16" s="539"/>
      <c r="K16" s="540"/>
      <c r="L16" s="541"/>
      <c r="M16" s="541"/>
      <c r="N16" s="508"/>
      <c r="O16" s="537"/>
      <c r="P16" s="537"/>
      <c r="Q16" s="508">
        <f t="shared" si="0"/>
        <v>552657.27</v>
      </c>
      <c r="R16" s="519">
        <f t="shared" si="1"/>
        <v>368240.48</v>
      </c>
    </row>
    <row r="17" spans="1:18" x14ac:dyDescent="0.25">
      <c r="A17" s="551">
        <v>13</v>
      </c>
      <c r="B17" s="552" t="s">
        <v>171</v>
      </c>
      <c r="C17" s="551" t="s">
        <v>205</v>
      </c>
      <c r="D17" s="553">
        <v>400352.58999999997</v>
      </c>
      <c r="E17" s="554">
        <v>33300.01</v>
      </c>
      <c r="F17" s="554">
        <v>33363.919999999998</v>
      </c>
      <c r="G17" s="557">
        <v>0</v>
      </c>
      <c r="H17" s="539"/>
      <c r="I17" s="539"/>
      <c r="J17" s="539"/>
      <c r="K17" s="540"/>
      <c r="L17" s="541"/>
      <c r="M17" s="541"/>
      <c r="N17" s="508"/>
      <c r="O17" s="537"/>
      <c r="P17" s="537"/>
      <c r="Q17" s="508">
        <f t="shared" si="0"/>
        <v>66663.929999999993</v>
      </c>
      <c r="R17" s="519">
        <f t="shared" si="1"/>
        <v>66663.929999999993</v>
      </c>
    </row>
    <row r="18" spans="1:18" x14ac:dyDescent="0.25">
      <c r="A18" s="505">
        <v>14</v>
      </c>
      <c r="B18" s="506" t="s">
        <v>172</v>
      </c>
      <c r="C18" s="505" t="s">
        <v>206</v>
      </c>
      <c r="D18" s="507">
        <v>1737508.01</v>
      </c>
      <c r="E18" s="539">
        <v>144251.51</v>
      </c>
      <c r="F18" s="539">
        <v>144800.1</v>
      </c>
      <c r="G18" s="539">
        <v>144845.64000000001</v>
      </c>
      <c r="H18" s="539"/>
      <c r="I18" s="539"/>
      <c r="J18" s="539"/>
      <c r="K18" s="540"/>
      <c r="L18" s="541"/>
      <c r="M18" s="541"/>
      <c r="N18" s="508"/>
      <c r="O18" s="537"/>
      <c r="P18" s="537"/>
      <c r="Q18" s="508">
        <f t="shared" si="0"/>
        <v>433897.25</v>
      </c>
      <c r="R18" s="519">
        <f t="shared" si="1"/>
        <v>289051.61</v>
      </c>
    </row>
    <row r="19" spans="1:18" x14ac:dyDescent="0.25">
      <c r="A19" s="505">
        <v>15</v>
      </c>
      <c r="B19" s="506" t="s">
        <v>173</v>
      </c>
      <c r="C19" s="505" t="s">
        <v>292</v>
      </c>
      <c r="D19" s="507">
        <v>4462914.54</v>
      </c>
      <c r="E19" s="539">
        <v>370530.88</v>
      </c>
      <c r="F19" s="539">
        <v>371985.33</v>
      </c>
      <c r="G19" s="539">
        <v>372039.83</v>
      </c>
      <c r="H19" s="539"/>
      <c r="I19" s="539"/>
      <c r="J19" s="539"/>
      <c r="K19" s="540"/>
      <c r="L19" s="541"/>
      <c r="M19" s="541"/>
      <c r="N19" s="508"/>
      <c r="O19" s="537"/>
      <c r="P19" s="537"/>
      <c r="Q19" s="508">
        <f t="shared" si="0"/>
        <v>1114556.04</v>
      </c>
      <c r="R19" s="519">
        <f t="shared" si="1"/>
        <v>742516.21</v>
      </c>
    </row>
    <row r="20" spans="1:18" x14ac:dyDescent="0.25">
      <c r="A20" s="505">
        <v>16</v>
      </c>
      <c r="B20" s="506" t="s">
        <v>174</v>
      </c>
      <c r="C20" s="505" t="s">
        <v>228</v>
      </c>
      <c r="D20" s="507">
        <v>5567837.1400000006</v>
      </c>
      <c r="E20" s="539">
        <v>457612.31</v>
      </c>
      <c r="F20" s="539">
        <v>459102.47</v>
      </c>
      <c r="G20" s="539">
        <v>465112.24</v>
      </c>
      <c r="H20" s="539"/>
      <c r="I20" s="539"/>
      <c r="J20" s="539"/>
      <c r="K20" s="540"/>
      <c r="L20" s="541"/>
      <c r="M20" s="541"/>
      <c r="N20" s="508"/>
      <c r="O20" s="537"/>
      <c r="P20" s="537"/>
      <c r="Q20" s="508">
        <f t="shared" si="0"/>
        <v>1381827.02</v>
      </c>
      <c r="R20" s="519">
        <f t="shared" si="1"/>
        <v>916714.78</v>
      </c>
    </row>
    <row r="21" spans="1:18" x14ac:dyDescent="0.25">
      <c r="A21" s="505">
        <v>17</v>
      </c>
      <c r="B21" s="506" t="s">
        <v>175</v>
      </c>
      <c r="C21" s="505" t="s">
        <v>196</v>
      </c>
      <c r="D21" s="507">
        <v>991919.57000000007</v>
      </c>
      <c r="E21" s="539">
        <v>82429.48</v>
      </c>
      <c r="F21" s="539">
        <v>82658.69</v>
      </c>
      <c r="G21" s="539">
        <v>82683.14</v>
      </c>
      <c r="H21" s="539"/>
      <c r="I21" s="539"/>
      <c r="J21" s="539"/>
      <c r="K21" s="540"/>
      <c r="L21" s="541"/>
      <c r="M21" s="541"/>
      <c r="N21" s="508"/>
      <c r="O21" s="537"/>
      <c r="P21" s="537"/>
      <c r="Q21" s="508">
        <f t="shared" si="0"/>
        <v>247771.31</v>
      </c>
      <c r="R21" s="519">
        <f t="shared" si="1"/>
        <v>165088.16999999998</v>
      </c>
    </row>
    <row r="22" spans="1:18" x14ac:dyDescent="0.25">
      <c r="A22" s="505">
        <v>18</v>
      </c>
      <c r="B22" s="506" t="s">
        <v>176</v>
      </c>
      <c r="C22" s="505" t="s">
        <v>190</v>
      </c>
      <c r="D22" s="507">
        <v>1123790.2300000002</v>
      </c>
      <c r="E22" s="539">
        <v>93468.86</v>
      </c>
      <c r="F22" s="539">
        <v>93648.320000000007</v>
      </c>
      <c r="G22" s="539">
        <v>93667.31</v>
      </c>
      <c r="H22" s="539"/>
      <c r="I22" s="539"/>
      <c r="J22" s="539"/>
      <c r="K22" s="540"/>
      <c r="L22" s="541"/>
      <c r="M22" s="541"/>
      <c r="N22" s="508"/>
      <c r="O22" s="537"/>
      <c r="P22" s="537"/>
      <c r="Q22" s="508">
        <f t="shared" si="0"/>
        <v>280784.49</v>
      </c>
      <c r="R22" s="519">
        <f t="shared" si="1"/>
        <v>187117.18</v>
      </c>
    </row>
    <row r="23" spans="1:18" x14ac:dyDescent="0.25">
      <c r="A23" s="505">
        <v>19</v>
      </c>
      <c r="B23" s="506" t="s">
        <v>177</v>
      </c>
      <c r="C23" s="505" t="s">
        <v>207</v>
      </c>
      <c r="D23" s="507">
        <v>3150468.8499999996</v>
      </c>
      <c r="E23" s="539">
        <v>261804.23</v>
      </c>
      <c r="F23" s="539">
        <v>262560.39</v>
      </c>
      <c r="G23" s="539">
        <v>262610.42</v>
      </c>
      <c r="H23" s="539"/>
      <c r="I23" s="539"/>
      <c r="J23" s="539"/>
      <c r="K23" s="540"/>
      <c r="L23" s="541"/>
      <c r="M23" s="541"/>
      <c r="N23" s="508"/>
      <c r="O23" s="537"/>
      <c r="P23" s="537"/>
      <c r="Q23" s="508">
        <f t="shared" si="0"/>
        <v>786975.04</v>
      </c>
      <c r="R23" s="519">
        <f t="shared" si="1"/>
        <v>524364.62</v>
      </c>
    </row>
    <row r="24" spans="1:18" x14ac:dyDescent="0.25">
      <c r="A24" s="505">
        <v>20</v>
      </c>
      <c r="B24" s="506" t="s">
        <v>178</v>
      </c>
      <c r="C24" s="505" t="s">
        <v>208</v>
      </c>
      <c r="D24" s="507">
        <v>3267899.45</v>
      </c>
      <c r="E24" s="539">
        <v>271329</v>
      </c>
      <c r="F24" s="539">
        <v>272395.59000000003</v>
      </c>
      <c r="G24" s="539">
        <v>272417.49</v>
      </c>
      <c r="H24" s="539"/>
      <c r="I24" s="539"/>
      <c r="J24" s="539"/>
      <c r="K24" s="540"/>
      <c r="L24" s="541"/>
      <c r="M24" s="541"/>
      <c r="N24" s="508"/>
      <c r="O24" s="537"/>
      <c r="P24" s="537"/>
      <c r="Q24" s="508">
        <f t="shared" si="0"/>
        <v>816142.08000000007</v>
      </c>
      <c r="R24" s="519">
        <f t="shared" si="1"/>
        <v>543724.59000000008</v>
      </c>
    </row>
    <row r="25" spans="1:18" x14ac:dyDescent="0.25">
      <c r="A25" s="505">
        <v>21</v>
      </c>
      <c r="B25" s="506" t="s">
        <v>179</v>
      </c>
      <c r="C25" s="505" t="s">
        <v>209</v>
      </c>
      <c r="D25" s="507">
        <v>3245006.38</v>
      </c>
      <c r="E25" s="539">
        <v>269507.71999999997</v>
      </c>
      <c r="F25" s="539">
        <v>270454.28000000003</v>
      </c>
      <c r="G25" s="539">
        <v>270504.44</v>
      </c>
      <c r="H25" s="539"/>
      <c r="I25" s="539"/>
      <c r="J25" s="539"/>
      <c r="K25" s="540"/>
      <c r="L25" s="541"/>
      <c r="M25" s="541"/>
      <c r="N25" s="508"/>
      <c r="O25" s="537"/>
      <c r="P25" s="537"/>
      <c r="Q25" s="508">
        <f t="shared" si="0"/>
        <v>810466.44</v>
      </c>
      <c r="R25" s="519">
        <f t="shared" si="1"/>
        <v>539962</v>
      </c>
    </row>
    <row r="26" spans="1:18" x14ac:dyDescent="0.25">
      <c r="A26" s="505">
        <v>22</v>
      </c>
      <c r="B26" s="506" t="s">
        <v>180</v>
      </c>
      <c r="C26" s="505" t="s">
        <v>211</v>
      </c>
      <c r="D26" s="507">
        <v>8464802.709999999</v>
      </c>
      <c r="E26" s="539">
        <v>702850.13</v>
      </c>
      <c r="F26" s="539">
        <v>705612.5</v>
      </c>
      <c r="G26" s="539">
        <v>705634.01</v>
      </c>
      <c r="H26" s="539"/>
      <c r="I26" s="539"/>
      <c r="J26" s="539"/>
      <c r="K26" s="540"/>
      <c r="L26" s="541"/>
      <c r="M26" s="541"/>
      <c r="N26" s="508"/>
      <c r="O26" s="537"/>
      <c r="P26" s="537"/>
      <c r="Q26" s="508">
        <f t="shared" si="0"/>
        <v>2114096.6399999997</v>
      </c>
      <c r="R26" s="519">
        <f t="shared" si="1"/>
        <v>1408462.63</v>
      </c>
    </row>
    <row r="27" spans="1:18" x14ac:dyDescent="0.25">
      <c r="A27" s="505">
        <v>23</v>
      </c>
      <c r="B27" s="506">
        <v>3441</v>
      </c>
      <c r="C27" s="505" t="s">
        <v>229</v>
      </c>
      <c r="D27" s="507">
        <v>4359453.9800000004</v>
      </c>
      <c r="E27" s="539">
        <v>362240.2</v>
      </c>
      <c r="F27" s="539">
        <v>363336.93</v>
      </c>
      <c r="G27" s="539">
        <v>363387.69</v>
      </c>
      <c r="H27" s="539"/>
      <c r="I27" s="539"/>
      <c r="J27" s="539"/>
      <c r="K27" s="540"/>
      <c r="L27" s="541"/>
      <c r="M27" s="541"/>
      <c r="N27" s="508"/>
      <c r="O27" s="537"/>
      <c r="P27" s="537"/>
      <c r="Q27" s="508">
        <f t="shared" si="0"/>
        <v>1088964.82</v>
      </c>
      <c r="R27" s="519">
        <f t="shared" si="1"/>
        <v>725577.13</v>
      </c>
    </row>
    <row r="28" spans="1:18" x14ac:dyDescent="0.25">
      <c r="A28" s="505">
        <v>24</v>
      </c>
      <c r="B28" s="506">
        <v>3924</v>
      </c>
      <c r="C28" s="505" t="s">
        <v>358</v>
      </c>
      <c r="D28" s="507">
        <v>3864942.0600000005</v>
      </c>
      <c r="E28" s="539">
        <v>321097.51</v>
      </c>
      <c r="F28" s="539">
        <v>322121.01</v>
      </c>
      <c r="G28" s="539">
        <v>322172.34999999998</v>
      </c>
      <c r="H28" s="539"/>
      <c r="I28" s="539"/>
      <c r="J28" s="539"/>
      <c r="K28" s="540"/>
      <c r="L28" s="541"/>
      <c r="M28" s="541"/>
      <c r="N28" s="508"/>
      <c r="O28" s="537"/>
      <c r="P28" s="537"/>
      <c r="Q28" s="508">
        <f t="shared" si="0"/>
        <v>965390.87</v>
      </c>
      <c r="R28" s="519">
        <f t="shared" si="1"/>
        <v>643218.52</v>
      </c>
    </row>
    <row r="29" spans="1:18" x14ac:dyDescent="0.25">
      <c r="A29" s="505">
        <v>25</v>
      </c>
      <c r="B29" s="506" t="s">
        <v>181</v>
      </c>
      <c r="C29" s="505" t="s">
        <v>192</v>
      </c>
      <c r="D29" s="507">
        <v>2211155.7299999995</v>
      </c>
      <c r="E29" s="539">
        <v>183588.24</v>
      </c>
      <c r="F29" s="539">
        <v>184304.2</v>
      </c>
      <c r="G29" s="539">
        <v>184326.33</v>
      </c>
      <c r="H29" s="539"/>
      <c r="I29" s="539"/>
      <c r="J29" s="539"/>
      <c r="K29" s="540"/>
      <c r="L29" s="541"/>
      <c r="M29" s="541"/>
      <c r="N29" s="508"/>
      <c r="O29" s="537"/>
      <c r="P29" s="537"/>
      <c r="Q29" s="508">
        <f t="shared" si="0"/>
        <v>552218.77</v>
      </c>
      <c r="R29" s="519">
        <f t="shared" si="1"/>
        <v>367892.44</v>
      </c>
    </row>
    <row r="30" spans="1:18" x14ac:dyDescent="0.25">
      <c r="A30" s="505">
        <v>26</v>
      </c>
      <c r="B30" s="506" t="s">
        <v>182</v>
      </c>
      <c r="C30" s="505" t="s">
        <v>202</v>
      </c>
      <c r="D30" s="507">
        <v>2675881.75</v>
      </c>
      <c r="E30" s="539">
        <v>227226.19</v>
      </c>
      <c r="F30" s="539">
        <v>228128.07</v>
      </c>
      <c r="G30" s="539">
        <v>222052.75</v>
      </c>
      <c r="H30" s="539"/>
      <c r="I30" s="539"/>
      <c r="J30" s="539"/>
      <c r="K30" s="540"/>
      <c r="L30" s="541"/>
      <c r="M30" s="541"/>
      <c r="N30" s="508"/>
      <c r="O30" s="537"/>
      <c r="P30" s="537"/>
      <c r="Q30" s="508">
        <f t="shared" si="0"/>
        <v>677407.01</v>
      </c>
      <c r="R30" s="519">
        <f t="shared" si="1"/>
        <v>455354.26</v>
      </c>
    </row>
    <row r="31" spans="1:18" x14ac:dyDescent="0.25">
      <c r="A31" s="505">
        <v>27</v>
      </c>
      <c r="B31" s="506" t="s">
        <v>183</v>
      </c>
      <c r="C31" s="505" t="s">
        <v>323</v>
      </c>
      <c r="D31" s="507">
        <v>5518895.96</v>
      </c>
      <c r="E31" s="539">
        <v>458603.06</v>
      </c>
      <c r="F31" s="539">
        <v>459980.77</v>
      </c>
      <c r="G31" s="539">
        <v>460031.21</v>
      </c>
      <c r="H31" s="539"/>
      <c r="I31" s="539"/>
      <c r="J31" s="539"/>
      <c r="K31" s="540"/>
      <c r="L31" s="541"/>
      <c r="M31" s="541"/>
      <c r="N31" s="508"/>
      <c r="O31" s="537"/>
      <c r="P31" s="537"/>
      <c r="Q31" s="508">
        <f t="shared" si="0"/>
        <v>1378615.04</v>
      </c>
      <c r="R31" s="519">
        <f t="shared" si="1"/>
        <v>918583.83000000007</v>
      </c>
    </row>
    <row r="32" spans="1:18" x14ac:dyDescent="0.25">
      <c r="A32" s="505">
        <v>28</v>
      </c>
      <c r="B32" s="506" t="s">
        <v>184</v>
      </c>
      <c r="C32" s="505" t="s">
        <v>220</v>
      </c>
      <c r="D32" s="507">
        <v>6040343.8799999999</v>
      </c>
      <c r="E32" s="539">
        <v>501572.04</v>
      </c>
      <c r="F32" s="539">
        <v>503475.79</v>
      </c>
      <c r="G32" s="539">
        <v>503529.61</v>
      </c>
      <c r="H32" s="539"/>
      <c r="I32" s="539"/>
      <c r="J32" s="539"/>
      <c r="K32" s="540"/>
      <c r="L32" s="541"/>
      <c r="M32" s="541"/>
      <c r="N32" s="508"/>
      <c r="O32" s="537"/>
      <c r="P32" s="537"/>
      <c r="Q32" s="508">
        <f t="shared" si="0"/>
        <v>1508577.44</v>
      </c>
      <c r="R32" s="519">
        <f t="shared" si="1"/>
        <v>1005047.83</v>
      </c>
    </row>
    <row r="33" spans="1:26" x14ac:dyDescent="0.25">
      <c r="A33" s="505">
        <v>29</v>
      </c>
      <c r="B33" s="506">
        <v>4002</v>
      </c>
      <c r="C33" s="505" t="s">
        <v>219</v>
      </c>
      <c r="D33" s="507">
        <v>9364964.4000000004</v>
      </c>
      <c r="E33" s="539">
        <v>777532.13</v>
      </c>
      <c r="F33" s="539">
        <v>780625.73</v>
      </c>
      <c r="G33" s="539">
        <v>780680.65</v>
      </c>
      <c r="H33" s="539"/>
      <c r="I33" s="539"/>
      <c r="J33" s="539"/>
      <c r="K33" s="540"/>
      <c r="L33" s="541"/>
      <c r="M33" s="541"/>
      <c r="N33" s="508"/>
      <c r="O33" s="537"/>
      <c r="P33" s="537"/>
      <c r="Q33" s="508">
        <f t="shared" si="0"/>
        <v>2338838.5099999998</v>
      </c>
      <c r="R33" s="519">
        <f t="shared" si="1"/>
        <v>1558157.8599999999</v>
      </c>
    </row>
    <row r="34" spans="1:26" x14ac:dyDescent="0.25">
      <c r="A34" s="505">
        <v>30</v>
      </c>
      <c r="B34" s="506">
        <v>4012</v>
      </c>
      <c r="C34" s="505" t="s">
        <v>222</v>
      </c>
      <c r="D34" s="507">
        <v>5324976.67</v>
      </c>
      <c r="E34" s="539">
        <v>442138</v>
      </c>
      <c r="F34" s="539">
        <v>443875.95</v>
      </c>
      <c r="G34" s="539">
        <v>443896.27</v>
      </c>
      <c r="H34" s="539"/>
      <c r="I34" s="539"/>
      <c r="J34" s="539"/>
      <c r="K34" s="540"/>
      <c r="L34" s="541"/>
      <c r="M34" s="541"/>
      <c r="N34" s="508"/>
      <c r="O34" s="537"/>
      <c r="P34" s="537"/>
      <c r="Q34" s="508">
        <f t="shared" si="0"/>
        <v>1329910.22</v>
      </c>
      <c r="R34" s="519">
        <f t="shared" si="1"/>
        <v>886013.95</v>
      </c>
    </row>
    <row r="35" spans="1:26" x14ac:dyDescent="0.25">
      <c r="A35" s="505">
        <v>31</v>
      </c>
      <c r="B35" s="506">
        <v>4013</v>
      </c>
      <c r="C35" s="505" t="s">
        <v>224</v>
      </c>
      <c r="D35" s="507">
        <v>7881786.3499999996</v>
      </c>
      <c r="E35" s="539">
        <v>654398.57999999996</v>
      </c>
      <c r="F35" s="539">
        <v>657017.1</v>
      </c>
      <c r="G35" s="539">
        <v>657037.06999999995</v>
      </c>
      <c r="H35" s="539"/>
      <c r="I35" s="539"/>
      <c r="J35" s="539"/>
      <c r="K35" s="540"/>
      <c r="L35" s="541"/>
      <c r="M35" s="541"/>
      <c r="N35" s="508"/>
      <c r="O35" s="537"/>
      <c r="P35" s="537"/>
      <c r="Q35" s="508">
        <f t="shared" si="0"/>
        <v>1968452.75</v>
      </c>
      <c r="R35" s="519">
        <f t="shared" si="1"/>
        <v>1311415.68</v>
      </c>
    </row>
    <row r="36" spans="1:26" x14ac:dyDescent="0.25">
      <c r="A36" s="505">
        <v>32</v>
      </c>
      <c r="B36" s="506">
        <v>4020</v>
      </c>
      <c r="C36" s="505" t="s">
        <v>329</v>
      </c>
      <c r="D36" s="507">
        <v>10222491.48</v>
      </c>
      <c r="E36" s="539">
        <v>848921.99</v>
      </c>
      <c r="F36" s="539">
        <v>852093.97</v>
      </c>
      <c r="G36" s="539">
        <v>852147.55</v>
      </c>
      <c r="H36" s="539"/>
      <c r="I36" s="539"/>
      <c r="J36" s="539"/>
      <c r="K36" s="540"/>
      <c r="L36" s="541"/>
      <c r="M36" s="541"/>
      <c r="N36" s="508"/>
      <c r="O36" s="537"/>
      <c r="P36" s="537"/>
      <c r="Q36" s="508">
        <f t="shared" si="0"/>
        <v>2553163.5099999998</v>
      </c>
      <c r="R36" s="519">
        <f t="shared" si="1"/>
        <v>1701015.96</v>
      </c>
    </row>
    <row r="37" spans="1:26" x14ac:dyDescent="0.25">
      <c r="A37" s="505">
        <v>33</v>
      </c>
      <c r="B37" s="506">
        <v>4030</v>
      </c>
      <c r="C37" s="505" t="s">
        <v>317</v>
      </c>
      <c r="D37" s="507">
        <v>2744453.9599999995</v>
      </c>
      <c r="E37" s="539">
        <v>227815.64</v>
      </c>
      <c r="F37" s="539">
        <v>228733.02</v>
      </c>
      <c r="G37" s="539">
        <v>228790.53</v>
      </c>
      <c r="H37" s="539"/>
      <c r="I37" s="539"/>
      <c r="J37" s="539"/>
      <c r="K37" s="540"/>
      <c r="L37" s="541"/>
      <c r="M37" s="541"/>
      <c r="N37" s="508"/>
      <c r="O37" s="537"/>
      <c r="P37" s="537"/>
      <c r="Q37" s="508">
        <f t="shared" si="0"/>
        <v>685339.19000000006</v>
      </c>
      <c r="R37" s="519">
        <f t="shared" si="1"/>
        <v>456548.66000000003</v>
      </c>
    </row>
    <row r="38" spans="1:26" x14ac:dyDescent="0.25">
      <c r="A38" s="505">
        <v>34</v>
      </c>
      <c r="B38" s="506">
        <v>4031</v>
      </c>
      <c r="C38" s="505" t="s">
        <v>334</v>
      </c>
      <c r="D38" s="507">
        <v>4523975.26</v>
      </c>
      <c r="E38" s="539">
        <v>375586.71</v>
      </c>
      <c r="F38" s="539">
        <v>377076.81</v>
      </c>
      <c r="G38" s="539">
        <v>377131.17</v>
      </c>
      <c r="H38" s="539"/>
      <c r="I38" s="539"/>
      <c r="J38" s="539"/>
      <c r="K38" s="540"/>
      <c r="L38" s="541"/>
      <c r="M38" s="541"/>
      <c r="N38" s="508"/>
      <c r="O38" s="537"/>
      <c r="P38" s="537"/>
      <c r="Q38" s="508">
        <f t="shared" si="0"/>
        <v>1129794.69</v>
      </c>
      <c r="R38" s="519">
        <f t="shared" si="1"/>
        <v>752663.52</v>
      </c>
    </row>
    <row r="39" spans="1:26" x14ac:dyDescent="0.25">
      <c r="A39" s="505">
        <v>35</v>
      </c>
      <c r="B39" s="506">
        <v>4041</v>
      </c>
      <c r="C39" s="505" t="s">
        <v>226</v>
      </c>
      <c r="D39" s="507">
        <v>734318.86</v>
      </c>
      <c r="E39" s="539">
        <v>60968.85</v>
      </c>
      <c r="F39" s="539">
        <v>61206.94</v>
      </c>
      <c r="G39" s="539">
        <v>61214.31</v>
      </c>
      <c r="H39" s="539"/>
      <c r="I39" s="539"/>
      <c r="J39" s="539"/>
      <c r="K39" s="540"/>
      <c r="L39" s="541"/>
      <c r="M39" s="541"/>
      <c r="N39" s="508"/>
      <c r="O39" s="537"/>
      <c r="P39" s="537"/>
      <c r="Q39" s="508">
        <f t="shared" si="0"/>
        <v>183390.1</v>
      </c>
      <c r="R39" s="519">
        <f t="shared" si="1"/>
        <v>122175.79000000001</v>
      </c>
    </row>
    <row r="40" spans="1:26" x14ac:dyDescent="0.25">
      <c r="A40" s="505">
        <v>36</v>
      </c>
      <c r="B40" s="506">
        <v>4050</v>
      </c>
      <c r="C40" s="505" t="s">
        <v>217</v>
      </c>
      <c r="D40" s="507">
        <v>6599985.7600000016</v>
      </c>
      <c r="E40" s="539">
        <v>547951.48</v>
      </c>
      <c r="F40" s="539">
        <v>550135.93000000005</v>
      </c>
      <c r="G40" s="539">
        <v>550189.84</v>
      </c>
      <c r="H40" s="539"/>
      <c r="I40" s="539"/>
      <c r="J40" s="539"/>
      <c r="K40" s="540"/>
      <c r="L40" s="541"/>
      <c r="M40" s="541"/>
      <c r="N40" s="508"/>
      <c r="O40" s="537"/>
      <c r="P40" s="537"/>
      <c r="Q40" s="508">
        <f t="shared" si="0"/>
        <v>1648277.25</v>
      </c>
      <c r="R40" s="519">
        <f t="shared" si="1"/>
        <v>1098087.4100000001</v>
      </c>
    </row>
    <row r="41" spans="1:26" x14ac:dyDescent="0.25">
      <c r="A41" s="505">
        <v>37</v>
      </c>
      <c r="B41" s="506">
        <v>4051</v>
      </c>
      <c r="C41" s="505" t="s">
        <v>215</v>
      </c>
      <c r="D41" s="507">
        <v>7242788.1399999997</v>
      </c>
      <c r="E41" s="539">
        <v>601326.9</v>
      </c>
      <c r="F41" s="539">
        <v>603719.79</v>
      </c>
      <c r="G41" s="539">
        <v>603774.15</v>
      </c>
      <c r="H41" s="539"/>
      <c r="I41" s="539"/>
      <c r="J41" s="539"/>
      <c r="K41" s="540"/>
      <c r="L41" s="541"/>
      <c r="M41" s="541"/>
      <c r="N41" s="508"/>
      <c r="O41" s="537"/>
      <c r="P41" s="537"/>
      <c r="Q41" s="508">
        <f t="shared" si="0"/>
        <v>1808820.8399999999</v>
      </c>
      <c r="R41" s="519">
        <f t="shared" si="1"/>
        <v>1205046.69</v>
      </c>
    </row>
    <row r="42" spans="1:26" x14ac:dyDescent="0.25">
      <c r="A42" s="505">
        <v>38</v>
      </c>
      <c r="B42" s="506">
        <v>4061</v>
      </c>
      <c r="C42" s="505" t="s">
        <v>331</v>
      </c>
      <c r="D42" s="507">
        <v>8193124.0499999989</v>
      </c>
      <c r="E42" s="539">
        <v>685584.55</v>
      </c>
      <c r="F42" s="539">
        <v>688138.52</v>
      </c>
      <c r="G42" s="539">
        <v>681940.1</v>
      </c>
      <c r="H42" s="539"/>
      <c r="I42" s="539"/>
      <c r="J42" s="539"/>
      <c r="K42" s="540"/>
      <c r="L42" s="541"/>
      <c r="M42" s="541"/>
      <c r="N42" s="508"/>
      <c r="O42" s="537"/>
      <c r="P42" s="537"/>
      <c r="Q42" s="508">
        <f>SUM(E42:P42)</f>
        <v>2055663.17</v>
      </c>
      <c r="R42" s="519">
        <f t="shared" si="1"/>
        <v>1373723.07</v>
      </c>
    </row>
    <row r="43" spans="1:26" x14ac:dyDescent="0.25">
      <c r="A43" s="505">
        <v>39</v>
      </c>
      <c r="B43" s="506">
        <v>4080</v>
      </c>
      <c r="C43" s="505" t="s">
        <v>238</v>
      </c>
      <c r="D43" s="507">
        <v>2306917.1800000002</v>
      </c>
      <c r="E43" s="539">
        <v>191555.8</v>
      </c>
      <c r="F43" s="539">
        <v>192257.13</v>
      </c>
      <c r="G43" s="539">
        <v>192310.43</v>
      </c>
      <c r="H43" s="539"/>
      <c r="I43" s="539"/>
      <c r="J43" s="539"/>
      <c r="K43" s="540"/>
      <c r="L43" s="541"/>
      <c r="M43" s="541"/>
      <c r="N43" s="508"/>
      <c r="O43" s="537"/>
      <c r="P43" s="537"/>
      <c r="Q43" s="508">
        <f t="shared" si="0"/>
        <v>576123.36</v>
      </c>
      <c r="R43" s="519">
        <f t="shared" si="1"/>
        <v>383812.93</v>
      </c>
    </row>
    <row r="44" spans="1:26" x14ac:dyDescent="0.25">
      <c r="A44" s="505">
        <v>40</v>
      </c>
      <c r="B44" s="506">
        <v>4081</v>
      </c>
      <c r="C44" s="505" t="s">
        <v>235</v>
      </c>
      <c r="D44" s="507">
        <v>972528.64000000001</v>
      </c>
      <c r="E44" s="539">
        <v>80762.73</v>
      </c>
      <c r="F44" s="539">
        <v>81046.89</v>
      </c>
      <c r="G44" s="539">
        <v>81071.899999999994</v>
      </c>
      <c r="H44" s="539"/>
      <c r="I44" s="539"/>
      <c r="J44" s="539"/>
      <c r="K44" s="540"/>
      <c r="L44" s="541"/>
      <c r="M44" s="541"/>
      <c r="N44" s="508"/>
      <c r="O44" s="537"/>
      <c r="P44" s="537"/>
      <c r="Q44" s="508">
        <f t="shared" si="0"/>
        <v>242881.52</v>
      </c>
      <c r="R44" s="519">
        <f t="shared" si="1"/>
        <v>161809.62</v>
      </c>
    </row>
    <row r="45" spans="1:26" x14ac:dyDescent="0.25">
      <c r="A45" s="505">
        <v>41</v>
      </c>
      <c r="B45" s="506">
        <v>4090</v>
      </c>
      <c r="C45" s="505" t="s">
        <v>293</v>
      </c>
      <c r="D45" s="507">
        <v>2703134.9200000004</v>
      </c>
      <c r="E45" s="539">
        <v>224404.48000000001</v>
      </c>
      <c r="F45" s="539">
        <v>225292.32</v>
      </c>
      <c r="G45" s="539">
        <v>225343.81</v>
      </c>
      <c r="H45" s="539"/>
      <c r="I45" s="539"/>
      <c r="J45" s="539"/>
      <c r="K45" s="540"/>
      <c r="L45" s="541"/>
      <c r="M45" s="541"/>
      <c r="N45" s="508"/>
      <c r="O45" s="537"/>
      <c r="P45" s="537"/>
      <c r="Q45" s="508">
        <f t="shared" si="0"/>
        <v>675040.6100000001</v>
      </c>
      <c r="R45" s="519">
        <f t="shared" si="1"/>
        <v>449696.80000000005</v>
      </c>
    </row>
    <row r="46" spans="1:26" x14ac:dyDescent="0.25">
      <c r="A46" s="505">
        <v>42</v>
      </c>
      <c r="B46" s="506">
        <v>4091</v>
      </c>
      <c r="C46" s="505" t="s">
        <v>276</v>
      </c>
      <c r="D46" s="507">
        <v>3607281.21</v>
      </c>
      <c r="E46" s="539">
        <v>299464.48</v>
      </c>
      <c r="F46" s="539">
        <v>300659.7</v>
      </c>
      <c r="G46" s="539">
        <v>300715.7</v>
      </c>
      <c r="H46" s="539"/>
      <c r="I46" s="539"/>
      <c r="J46" s="539"/>
      <c r="K46" s="540"/>
      <c r="L46" s="541"/>
      <c r="M46" s="541"/>
      <c r="N46" s="508"/>
      <c r="O46" s="537"/>
      <c r="P46" s="537"/>
      <c r="Q46" s="508">
        <f t="shared" si="0"/>
        <v>900839.87999999989</v>
      </c>
      <c r="R46" s="519">
        <f t="shared" si="1"/>
        <v>600124.17999999993</v>
      </c>
    </row>
    <row r="47" spans="1:26" x14ac:dyDescent="0.25">
      <c r="A47" s="505">
        <v>43</v>
      </c>
      <c r="B47" s="506">
        <v>4100</v>
      </c>
      <c r="C47" s="505" t="s">
        <v>294</v>
      </c>
      <c r="D47" s="507">
        <v>3224558.03</v>
      </c>
      <c r="E47" s="539">
        <v>267680.53000000003</v>
      </c>
      <c r="F47" s="539">
        <v>268790.57</v>
      </c>
      <c r="G47" s="539">
        <v>268808.69</v>
      </c>
      <c r="H47" s="539"/>
      <c r="I47" s="539"/>
      <c r="J47" s="539"/>
      <c r="K47" s="540"/>
      <c r="L47" s="541"/>
      <c r="M47" s="541"/>
      <c r="N47" s="508"/>
      <c r="O47" s="537"/>
      <c r="P47" s="537"/>
      <c r="Q47" s="508">
        <f t="shared" si="0"/>
        <v>805279.79</v>
      </c>
      <c r="R47" s="519">
        <f t="shared" si="1"/>
        <v>536471.10000000009</v>
      </c>
    </row>
    <row r="48" spans="1:26" x14ac:dyDescent="0.25">
      <c r="A48" s="505">
        <v>44</v>
      </c>
      <c r="B48" s="546">
        <v>4102</v>
      </c>
      <c r="C48" s="545" t="s">
        <v>295</v>
      </c>
      <c r="D48" s="544">
        <v>0</v>
      </c>
      <c r="E48" s="544">
        <v>0</v>
      </c>
      <c r="F48" s="544">
        <v>0</v>
      </c>
      <c r="G48" s="544">
        <v>0</v>
      </c>
      <c r="H48" s="539"/>
      <c r="I48" s="539"/>
      <c r="J48" s="539"/>
      <c r="K48" s="540"/>
      <c r="L48" s="541"/>
      <c r="M48" s="541"/>
      <c r="N48" s="508"/>
      <c r="O48" s="537"/>
      <c r="P48" s="537"/>
      <c r="Q48" s="508">
        <f t="shared" si="0"/>
        <v>0</v>
      </c>
      <c r="R48" s="519">
        <f t="shared" si="1"/>
        <v>0</v>
      </c>
      <c r="S48" s="549"/>
      <c r="T48" s="550"/>
      <c r="U48" s="550"/>
      <c r="V48" s="550"/>
      <c r="W48" s="550"/>
      <c r="X48" s="550"/>
      <c r="Y48" s="550"/>
      <c r="Z48" s="550"/>
    </row>
    <row r="49" spans="1:18" x14ac:dyDescent="0.25">
      <c r="A49" s="505">
        <v>45</v>
      </c>
      <c r="B49" s="506">
        <v>4103</v>
      </c>
      <c r="C49" s="505" t="s">
        <v>307</v>
      </c>
      <c r="D49" s="507">
        <v>8473764.6100000031</v>
      </c>
      <c r="E49" s="539">
        <v>703538.19</v>
      </c>
      <c r="F49" s="539">
        <v>706336.97</v>
      </c>
      <c r="G49" s="539">
        <v>706388.95</v>
      </c>
      <c r="H49" s="539"/>
      <c r="I49" s="539"/>
      <c r="J49" s="539"/>
      <c r="K49" s="540"/>
      <c r="L49" s="541"/>
      <c r="M49" s="541"/>
      <c r="N49" s="519"/>
      <c r="O49" s="541"/>
      <c r="P49" s="541"/>
      <c r="Q49" s="519">
        <f t="shared" si="0"/>
        <v>2116264.11</v>
      </c>
      <c r="R49" s="519">
        <f t="shared" si="1"/>
        <v>1409875.16</v>
      </c>
    </row>
    <row r="50" spans="1:18" x14ac:dyDescent="0.25">
      <c r="A50" s="505">
        <v>46</v>
      </c>
      <c r="B50" s="506">
        <v>4111</v>
      </c>
      <c r="C50" s="505" t="s">
        <v>324</v>
      </c>
      <c r="D50" s="507">
        <v>2433797.04</v>
      </c>
      <c r="E50" s="539">
        <v>202038.36</v>
      </c>
      <c r="F50" s="539">
        <v>202840.7</v>
      </c>
      <c r="G50" s="539">
        <v>202891.8</v>
      </c>
      <c r="H50" s="539"/>
      <c r="I50" s="539"/>
      <c r="J50" s="539"/>
      <c r="K50" s="540"/>
      <c r="L50" s="541"/>
      <c r="M50" s="541"/>
      <c r="N50" s="508"/>
      <c r="O50" s="537"/>
      <c r="P50" s="537"/>
      <c r="Q50" s="508">
        <f t="shared" si="0"/>
        <v>607770.86</v>
      </c>
      <c r="R50" s="519">
        <f t="shared" si="1"/>
        <v>404879.06</v>
      </c>
    </row>
    <row r="51" spans="1:18" x14ac:dyDescent="0.25">
      <c r="A51" s="505">
        <v>47</v>
      </c>
      <c r="B51" s="506">
        <v>4131</v>
      </c>
      <c r="C51" s="505" t="s">
        <v>356</v>
      </c>
      <c r="D51" s="507">
        <v>533667.77</v>
      </c>
      <c r="E51" s="539">
        <v>44299.33</v>
      </c>
      <c r="F51" s="539">
        <v>44475.26</v>
      </c>
      <c r="G51" s="539">
        <v>44489.32</v>
      </c>
      <c r="H51" s="539"/>
      <c r="I51" s="539"/>
      <c r="J51" s="539"/>
      <c r="K51" s="540"/>
      <c r="L51" s="541"/>
      <c r="M51" s="541"/>
      <c r="N51" s="508"/>
      <c r="O51" s="537"/>
      <c r="P51" s="537"/>
      <c r="Q51" s="508">
        <f>SUM(E51:P51)</f>
        <v>133263.91</v>
      </c>
      <c r="R51" s="519">
        <f t="shared" si="1"/>
        <v>88774.59</v>
      </c>
    </row>
    <row r="53" spans="1:18" x14ac:dyDescent="0.25">
      <c r="D53" s="507">
        <f>SUM(D5:D52)</f>
        <v>204843503.62</v>
      </c>
      <c r="E53" s="507">
        <f t="shared" ref="E53:R53" si="2">SUM(E5:E52)</f>
        <v>17016582.480000004</v>
      </c>
      <c r="F53" s="507">
        <f>SUM(F5:F52)</f>
        <v>17079477.580000002</v>
      </c>
      <c r="G53" s="507">
        <f t="shared" si="2"/>
        <v>17074744.390000001</v>
      </c>
      <c r="H53" s="507">
        <f t="shared" si="2"/>
        <v>0</v>
      </c>
      <c r="I53" s="507">
        <f t="shared" si="2"/>
        <v>0</v>
      </c>
      <c r="J53" s="507">
        <f t="shared" si="2"/>
        <v>0</v>
      </c>
      <c r="K53" s="520">
        <f t="shared" si="2"/>
        <v>0</v>
      </c>
      <c r="L53" s="507">
        <f t="shared" si="2"/>
        <v>0</v>
      </c>
      <c r="M53" s="507">
        <f t="shared" si="2"/>
        <v>0</v>
      </c>
      <c r="N53" s="507">
        <f t="shared" si="2"/>
        <v>0</v>
      </c>
      <c r="O53" s="507">
        <f t="shared" si="2"/>
        <v>0</v>
      </c>
      <c r="P53" s="507">
        <f t="shared" si="2"/>
        <v>0</v>
      </c>
      <c r="Q53" s="507">
        <f t="shared" si="2"/>
        <v>51170804.449999996</v>
      </c>
      <c r="R53" s="507">
        <f t="shared" si="2"/>
        <v>34096060.06000001</v>
      </c>
    </row>
    <row r="55" spans="1:18" x14ac:dyDescent="0.25">
      <c r="I55" s="516" t="s">
        <v>290</v>
      </c>
      <c r="J55" s="509" t="e">
        <f>#REF!</f>
        <v>#REF!</v>
      </c>
      <c r="L55" s="510"/>
    </row>
    <row r="56" spans="1:18" x14ac:dyDescent="0.25">
      <c r="I56" s="516" t="s">
        <v>489</v>
      </c>
      <c r="J56" s="512">
        <f>D53-R53</f>
        <v>170747443.56</v>
      </c>
      <c r="L56" s="510"/>
    </row>
    <row r="57" spans="1:18" x14ac:dyDescent="0.25">
      <c r="I57" s="516" t="s">
        <v>490</v>
      </c>
      <c r="J57" s="511">
        <f>J56/10</f>
        <v>17074744.355999999</v>
      </c>
      <c r="K57" s="521"/>
      <c r="L57" s="510"/>
    </row>
    <row r="58" spans="1:18" x14ac:dyDescent="0.25">
      <c r="I58" s="516" t="s">
        <v>491</v>
      </c>
      <c r="J58" s="512">
        <f>G53</f>
        <v>17074744.390000001</v>
      </c>
      <c r="L58" s="510"/>
    </row>
    <row r="59" spans="1:18" x14ac:dyDescent="0.25">
      <c r="J59" s="511">
        <f>J57-J58</f>
        <v>-3.4000001847743988E-2</v>
      </c>
      <c r="K59" s="518" t="s">
        <v>487</v>
      </c>
      <c r="L59" s="510"/>
    </row>
    <row r="60" spans="1:18" x14ac:dyDescent="0.25">
      <c r="J60" s="510"/>
      <c r="L60" s="510"/>
    </row>
    <row r="61" spans="1:18" x14ac:dyDescent="0.25">
      <c r="D61" s="522"/>
      <c r="J61" s="510"/>
      <c r="L61" s="510"/>
    </row>
    <row r="65" spans="1:18" x14ac:dyDescent="0.25">
      <c r="N65" s="538" t="s">
        <v>506</v>
      </c>
    </row>
    <row r="67" spans="1:18" ht="45" x14ac:dyDescent="0.25">
      <c r="A67" s="513" t="s">
        <v>310</v>
      </c>
      <c r="B67" s="514" t="s">
        <v>310</v>
      </c>
      <c r="C67" s="513" t="s">
        <v>310</v>
      </c>
      <c r="D67" s="524" t="s">
        <v>290</v>
      </c>
      <c r="E67" s="524" t="s">
        <v>475</v>
      </c>
      <c r="F67" s="514" t="s">
        <v>476</v>
      </c>
      <c r="G67" s="514" t="s">
        <v>477</v>
      </c>
      <c r="H67" s="514" t="s">
        <v>478</v>
      </c>
      <c r="I67" s="514" t="s">
        <v>479</v>
      </c>
      <c r="J67" s="514" t="s">
        <v>480</v>
      </c>
      <c r="K67" s="525" t="s">
        <v>481</v>
      </c>
      <c r="L67" s="514" t="s">
        <v>482</v>
      </c>
      <c r="M67" s="514" t="s">
        <v>483</v>
      </c>
      <c r="N67" s="514" t="s">
        <v>484</v>
      </c>
      <c r="O67" s="514" t="s">
        <v>485</v>
      </c>
      <c r="P67" s="514" t="s">
        <v>486</v>
      </c>
      <c r="Q67" s="514" t="s">
        <v>8</v>
      </c>
      <c r="R67" s="515" t="s">
        <v>488</v>
      </c>
    </row>
    <row r="68" spans="1:18" x14ac:dyDescent="0.25">
      <c r="A68" s="505">
        <v>1</v>
      </c>
      <c r="B68" s="506" t="s">
        <v>159</v>
      </c>
      <c r="C68" s="505" t="s">
        <v>191</v>
      </c>
      <c r="D68" s="507">
        <v>6536346.29</v>
      </c>
      <c r="E68" s="539">
        <v>543134.93000000005</v>
      </c>
      <c r="F68" s="539">
        <v>544837.4</v>
      </c>
      <c r="G68" s="539"/>
      <c r="H68" s="539"/>
      <c r="I68" s="539"/>
      <c r="J68" s="539"/>
      <c r="K68" s="540"/>
      <c r="L68" s="541"/>
      <c r="M68" s="541"/>
      <c r="N68" s="519"/>
      <c r="O68" s="537"/>
      <c r="Q68" s="508">
        <f>SUM(E68:P68)</f>
        <v>1087972.33</v>
      </c>
      <c r="R68" s="519">
        <f>SUM(E68:M68)</f>
        <v>1087972.33</v>
      </c>
    </row>
    <row r="69" spans="1:18" x14ac:dyDescent="0.25">
      <c r="A69" s="505">
        <v>2</v>
      </c>
      <c r="B69" s="506" t="s">
        <v>160</v>
      </c>
      <c r="C69" s="505" t="s">
        <v>193</v>
      </c>
      <c r="D69" s="507">
        <v>8953799.410000002</v>
      </c>
      <c r="E69" s="539">
        <v>744106.29</v>
      </c>
      <c r="F69" s="539">
        <v>746335.74</v>
      </c>
      <c r="G69" s="539"/>
      <c r="H69" s="539"/>
      <c r="I69" s="539"/>
      <c r="J69" s="539"/>
      <c r="K69" s="540"/>
      <c r="L69" s="541"/>
      <c r="M69" s="541"/>
      <c r="N69" s="519"/>
      <c r="O69" s="537"/>
      <c r="Q69" s="508">
        <f t="shared" ref="Q69:Q71" si="3">SUM(E69:P69)</f>
        <v>1490442.03</v>
      </c>
      <c r="R69" s="519">
        <f t="shared" ref="R69:R113" si="4">SUM(E69:M69)</f>
        <v>1490442.03</v>
      </c>
    </row>
    <row r="70" spans="1:18" x14ac:dyDescent="0.25">
      <c r="A70" s="505">
        <v>3</v>
      </c>
      <c r="B70" s="506" t="s">
        <v>161</v>
      </c>
      <c r="C70" s="505" t="s">
        <v>194</v>
      </c>
      <c r="D70" s="507">
        <v>1156850.6299999999</v>
      </c>
      <c r="E70" s="539">
        <v>96199.14</v>
      </c>
      <c r="F70" s="539">
        <v>96422.86</v>
      </c>
      <c r="G70" s="539"/>
      <c r="H70" s="539"/>
      <c r="I70" s="539"/>
      <c r="J70" s="539"/>
      <c r="K70" s="540"/>
      <c r="L70" s="541"/>
      <c r="M70" s="541"/>
      <c r="N70" s="519"/>
      <c r="O70" s="537"/>
      <c r="Q70" s="508">
        <f t="shared" si="3"/>
        <v>192622</v>
      </c>
      <c r="R70" s="519">
        <f t="shared" si="4"/>
        <v>192622</v>
      </c>
    </row>
    <row r="71" spans="1:18" x14ac:dyDescent="0.25">
      <c r="A71" s="505">
        <v>4</v>
      </c>
      <c r="B71" s="506" t="s">
        <v>162</v>
      </c>
      <c r="C71" s="505" t="s">
        <v>195</v>
      </c>
      <c r="D71" s="507">
        <v>952582.03</v>
      </c>
      <c r="E71" s="539">
        <v>79086.62</v>
      </c>
      <c r="F71" s="539">
        <v>79408.67</v>
      </c>
      <c r="G71" s="539"/>
      <c r="H71" s="539"/>
      <c r="I71" s="539"/>
      <c r="J71" s="539"/>
      <c r="K71" s="540"/>
      <c r="L71" s="541"/>
      <c r="M71" s="541"/>
      <c r="N71" s="519"/>
      <c r="O71" s="537"/>
      <c r="Q71" s="508">
        <f t="shared" si="3"/>
        <v>158495.28999999998</v>
      </c>
      <c r="R71" s="519">
        <f t="shared" si="4"/>
        <v>158495.28999999998</v>
      </c>
    </row>
    <row r="72" spans="1:18" x14ac:dyDescent="0.25">
      <c r="A72" s="505">
        <v>5</v>
      </c>
      <c r="B72" s="506" t="s">
        <v>163</v>
      </c>
      <c r="C72" s="505" t="s">
        <v>291</v>
      </c>
      <c r="D72" s="507">
        <v>4497003.78</v>
      </c>
      <c r="E72" s="539">
        <v>373318.84</v>
      </c>
      <c r="F72" s="539">
        <v>374880.45</v>
      </c>
      <c r="G72" s="539"/>
      <c r="H72" s="539"/>
      <c r="I72" s="539"/>
      <c r="J72" s="539"/>
      <c r="K72" s="540"/>
      <c r="L72" s="541"/>
      <c r="M72" s="541"/>
      <c r="N72" s="519"/>
      <c r="O72" s="537"/>
      <c r="Q72" s="508">
        <f>SUM(E72:P72)</f>
        <v>748199.29</v>
      </c>
      <c r="R72" s="519">
        <f t="shared" si="4"/>
        <v>748199.29</v>
      </c>
    </row>
    <row r="73" spans="1:18" x14ac:dyDescent="0.25">
      <c r="A73" s="505">
        <v>6</v>
      </c>
      <c r="B73" s="506" t="s">
        <v>164</v>
      </c>
      <c r="C73" s="505" t="s">
        <v>359</v>
      </c>
      <c r="D73" s="507">
        <v>5275816.53</v>
      </c>
      <c r="E73" s="539">
        <v>438241.71</v>
      </c>
      <c r="F73" s="539">
        <v>439779.53</v>
      </c>
      <c r="G73" s="539"/>
      <c r="H73" s="539"/>
      <c r="I73" s="539"/>
      <c r="J73" s="539"/>
      <c r="K73" s="540"/>
      <c r="L73" s="541"/>
      <c r="M73" s="541"/>
      <c r="N73" s="519"/>
      <c r="O73" s="537"/>
      <c r="Q73" s="508">
        <f t="shared" ref="Q73:Q104" si="5">SUM(E73:P73)</f>
        <v>878021.24</v>
      </c>
      <c r="R73" s="519">
        <f t="shared" si="4"/>
        <v>878021.24</v>
      </c>
    </row>
    <row r="74" spans="1:18" x14ac:dyDescent="0.25">
      <c r="A74" s="505">
        <v>7</v>
      </c>
      <c r="B74" s="506" t="s">
        <v>165</v>
      </c>
      <c r="C74" s="505" t="s">
        <v>197</v>
      </c>
      <c r="D74" s="507">
        <v>5522296.9900000002</v>
      </c>
      <c r="E74" s="539">
        <v>458554.15</v>
      </c>
      <c r="F74" s="539">
        <v>460340.26</v>
      </c>
      <c r="G74" s="539"/>
      <c r="H74" s="539"/>
      <c r="I74" s="539"/>
      <c r="J74" s="539"/>
      <c r="K74" s="540"/>
      <c r="L74" s="541"/>
      <c r="M74" s="541"/>
      <c r="N74" s="519"/>
      <c r="O74" s="537"/>
      <c r="Q74" s="508">
        <f t="shared" si="5"/>
        <v>918894.41</v>
      </c>
      <c r="R74" s="519">
        <f t="shared" si="4"/>
        <v>918894.41</v>
      </c>
    </row>
    <row r="75" spans="1:18" x14ac:dyDescent="0.25">
      <c r="A75" s="505">
        <v>8</v>
      </c>
      <c r="B75" s="506" t="s">
        <v>166</v>
      </c>
      <c r="C75" s="505" t="s">
        <v>198</v>
      </c>
      <c r="D75" s="507">
        <v>10438762.450000001</v>
      </c>
      <c r="E75" s="539">
        <v>866760.71</v>
      </c>
      <c r="F75" s="539">
        <v>870181.98</v>
      </c>
      <c r="G75" s="539"/>
      <c r="H75" s="539"/>
      <c r="I75" s="539"/>
      <c r="J75" s="539"/>
      <c r="K75" s="540"/>
      <c r="L75" s="541"/>
      <c r="M75" s="541"/>
      <c r="N75" s="519"/>
      <c r="O75" s="537"/>
      <c r="Q75" s="508">
        <f t="shared" si="5"/>
        <v>1736942.69</v>
      </c>
      <c r="R75" s="519">
        <f t="shared" si="4"/>
        <v>1736942.69</v>
      </c>
    </row>
    <row r="76" spans="1:18" x14ac:dyDescent="0.25">
      <c r="A76" s="505">
        <v>9</v>
      </c>
      <c r="B76" s="506" t="s">
        <v>167</v>
      </c>
      <c r="C76" s="505" t="s">
        <v>366</v>
      </c>
      <c r="D76" s="507">
        <v>5035880.4999999981</v>
      </c>
      <c r="E76" s="539">
        <v>418062.5</v>
      </c>
      <c r="F76" s="539">
        <v>419801.64</v>
      </c>
      <c r="G76" s="539"/>
      <c r="H76" s="539"/>
      <c r="I76" s="539"/>
      <c r="J76" s="539"/>
      <c r="K76" s="540"/>
      <c r="L76" s="541"/>
      <c r="M76" s="541"/>
      <c r="N76" s="519"/>
      <c r="O76" s="537"/>
      <c r="Q76" s="508">
        <f t="shared" si="5"/>
        <v>837864.14</v>
      </c>
      <c r="R76" s="519">
        <f t="shared" si="4"/>
        <v>837864.14</v>
      </c>
    </row>
    <row r="77" spans="1:18" x14ac:dyDescent="0.25">
      <c r="A77" s="505">
        <v>10</v>
      </c>
      <c r="B77" s="506" t="s">
        <v>168</v>
      </c>
      <c r="C77" s="505" t="s">
        <v>365</v>
      </c>
      <c r="D77" s="507">
        <v>1027156.0000000002</v>
      </c>
      <c r="E77" s="539">
        <v>85480.95</v>
      </c>
      <c r="F77" s="539">
        <v>85606.82</v>
      </c>
      <c r="G77" s="539"/>
      <c r="H77" s="539"/>
      <c r="I77" s="539"/>
      <c r="J77" s="539"/>
      <c r="K77" s="540"/>
      <c r="L77" s="541"/>
      <c r="M77" s="541"/>
      <c r="N77" s="519"/>
      <c r="O77" s="537"/>
      <c r="Q77" s="508">
        <f t="shared" si="5"/>
        <v>171087.77000000002</v>
      </c>
      <c r="R77" s="519">
        <f t="shared" si="4"/>
        <v>171087.77000000002</v>
      </c>
    </row>
    <row r="78" spans="1:18" x14ac:dyDescent="0.25">
      <c r="A78" s="505">
        <v>11</v>
      </c>
      <c r="B78" s="506" t="s">
        <v>169</v>
      </c>
      <c r="C78" s="505" t="s">
        <v>201</v>
      </c>
      <c r="D78" s="507">
        <v>9060317.0200000014</v>
      </c>
      <c r="E78" s="539">
        <v>752379.59</v>
      </c>
      <c r="F78" s="539">
        <v>755267.04</v>
      </c>
      <c r="G78" s="539"/>
      <c r="H78" s="539"/>
      <c r="I78" s="539"/>
      <c r="J78" s="539"/>
      <c r="K78" s="540"/>
      <c r="L78" s="541"/>
      <c r="M78" s="541"/>
      <c r="N78" s="519"/>
      <c r="O78" s="537"/>
      <c r="Q78" s="508">
        <f t="shared" si="5"/>
        <v>1507646.63</v>
      </c>
      <c r="R78" s="519">
        <f t="shared" si="4"/>
        <v>1507646.63</v>
      </c>
    </row>
    <row r="79" spans="1:18" x14ac:dyDescent="0.25">
      <c r="A79" s="505">
        <v>12</v>
      </c>
      <c r="B79" s="506" t="s">
        <v>170</v>
      </c>
      <c r="C79" s="505" t="s">
        <v>203</v>
      </c>
      <c r="D79" s="507">
        <v>2211875.7700000005</v>
      </c>
      <c r="E79" s="539">
        <v>183876.95</v>
      </c>
      <c r="F79" s="539">
        <v>184363.53</v>
      </c>
      <c r="G79" s="539"/>
      <c r="H79" s="539"/>
      <c r="I79" s="539"/>
      <c r="J79" s="539"/>
      <c r="K79" s="540"/>
      <c r="L79" s="541"/>
      <c r="M79" s="541"/>
      <c r="N79" s="519"/>
      <c r="O79" s="537"/>
      <c r="Q79" s="508">
        <f t="shared" si="5"/>
        <v>368240.48</v>
      </c>
      <c r="R79" s="519">
        <f t="shared" si="4"/>
        <v>368240.48</v>
      </c>
    </row>
    <row r="80" spans="1:18" x14ac:dyDescent="0.25">
      <c r="A80" s="505">
        <v>13</v>
      </c>
      <c r="B80" s="506" t="s">
        <v>171</v>
      </c>
      <c r="C80" s="505" t="s">
        <v>205</v>
      </c>
      <c r="D80" s="507">
        <v>400303.12999999995</v>
      </c>
      <c r="E80" s="539">
        <v>33300.01</v>
      </c>
      <c r="F80" s="539">
        <v>33363.919999999998</v>
      </c>
      <c r="G80" s="539"/>
      <c r="H80" s="539"/>
      <c r="I80" s="539"/>
      <c r="J80" s="539"/>
      <c r="K80" s="540"/>
      <c r="L80" s="541"/>
      <c r="M80" s="541"/>
      <c r="N80" s="519"/>
      <c r="O80" s="537"/>
      <c r="Q80" s="508">
        <f t="shared" si="5"/>
        <v>66663.929999999993</v>
      </c>
      <c r="R80" s="519">
        <f t="shared" si="4"/>
        <v>66663.929999999993</v>
      </c>
    </row>
    <row r="81" spans="1:18" x14ac:dyDescent="0.25">
      <c r="A81" s="505">
        <v>14</v>
      </c>
      <c r="B81" s="506" t="s">
        <v>172</v>
      </c>
      <c r="C81" s="505" t="s">
        <v>206</v>
      </c>
      <c r="D81" s="507">
        <v>1737052.6</v>
      </c>
      <c r="E81" s="539">
        <v>144251.51</v>
      </c>
      <c r="F81" s="539">
        <v>144800.1</v>
      </c>
      <c r="G81" s="539"/>
      <c r="H81" s="539"/>
      <c r="I81" s="539"/>
      <c r="J81" s="539"/>
      <c r="K81" s="540"/>
      <c r="L81" s="541"/>
      <c r="M81" s="541"/>
      <c r="N81" s="519"/>
      <c r="O81" s="537"/>
      <c r="Q81" s="508">
        <f t="shared" si="5"/>
        <v>289051.61</v>
      </c>
      <c r="R81" s="519">
        <f t="shared" si="4"/>
        <v>289051.61</v>
      </c>
    </row>
    <row r="82" spans="1:18" x14ac:dyDescent="0.25">
      <c r="A82" s="505">
        <v>15</v>
      </c>
      <c r="B82" s="506" t="s">
        <v>173</v>
      </c>
      <c r="C82" s="505" t="s">
        <v>292</v>
      </c>
      <c r="D82" s="507">
        <v>4462369.46</v>
      </c>
      <c r="E82" s="539">
        <v>370530.88</v>
      </c>
      <c r="F82" s="539">
        <v>371985.33</v>
      </c>
      <c r="G82" s="539"/>
      <c r="H82" s="539"/>
      <c r="I82" s="539"/>
      <c r="J82" s="539"/>
      <c r="K82" s="540"/>
      <c r="L82" s="541"/>
      <c r="M82" s="541"/>
      <c r="N82" s="519"/>
      <c r="O82" s="537"/>
      <c r="Q82" s="508">
        <f t="shared" si="5"/>
        <v>742516.21</v>
      </c>
      <c r="R82" s="519">
        <f t="shared" si="4"/>
        <v>742516.21</v>
      </c>
    </row>
    <row r="83" spans="1:18" x14ac:dyDescent="0.25">
      <c r="A83" s="505">
        <v>16</v>
      </c>
      <c r="B83" s="506" t="s">
        <v>174</v>
      </c>
      <c r="C83" s="505" t="s">
        <v>228</v>
      </c>
      <c r="D83" s="507">
        <v>5507739.4900000002</v>
      </c>
      <c r="E83" s="539">
        <v>457612.31</v>
      </c>
      <c r="F83" s="539">
        <v>459102.47</v>
      </c>
      <c r="G83" s="539"/>
      <c r="H83" s="539"/>
      <c r="I83" s="539"/>
      <c r="J83" s="539"/>
      <c r="K83" s="540"/>
      <c r="L83" s="541"/>
      <c r="M83" s="541"/>
      <c r="N83" s="519"/>
      <c r="O83" s="537"/>
      <c r="Q83" s="508">
        <f t="shared" si="5"/>
        <v>916714.78</v>
      </c>
      <c r="R83" s="519">
        <f t="shared" si="4"/>
        <v>916714.78</v>
      </c>
    </row>
    <row r="84" spans="1:18" x14ac:dyDescent="0.25">
      <c r="A84" s="505">
        <v>17</v>
      </c>
      <c r="B84" s="506" t="s">
        <v>175</v>
      </c>
      <c r="C84" s="505" t="s">
        <v>196</v>
      </c>
      <c r="D84" s="507">
        <v>991675.07000000007</v>
      </c>
      <c r="E84" s="539">
        <v>82429.48</v>
      </c>
      <c r="F84" s="539">
        <v>82658.69</v>
      </c>
      <c r="G84" s="539"/>
      <c r="H84" s="539"/>
      <c r="I84" s="539"/>
      <c r="J84" s="539"/>
      <c r="K84" s="540"/>
      <c r="L84" s="541"/>
      <c r="M84" s="541"/>
      <c r="N84" s="519"/>
      <c r="O84" s="537"/>
      <c r="Q84" s="508">
        <f t="shared" si="5"/>
        <v>165088.16999999998</v>
      </c>
      <c r="R84" s="519">
        <f t="shared" si="4"/>
        <v>165088.16999999998</v>
      </c>
    </row>
    <row r="85" spans="1:18" x14ac:dyDescent="0.25">
      <c r="A85" s="505">
        <v>18</v>
      </c>
      <c r="B85" s="506" t="s">
        <v>176</v>
      </c>
      <c r="C85" s="505" t="s">
        <v>190</v>
      </c>
      <c r="D85" s="507">
        <v>1123600.3600000001</v>
      </c>
      <c r="E85" s="539">
        <v>93468.86</v>
      </c>
      <c r="F85" s="539">
        <v>93648.320000000007</v>
      </c>
      <c r="G85" s="539"/>
      <c r="H85" s="539"/>
      <c r="I85" s="539"/>
      <c r="J85" s="539"/>
      <c r="K85" s="540"/>
      <c r="L85" s="541"/>
      <c r="M85" s="541"/>
      <c r="N85" s="519"/>
      <c r="O85" s="537"/>
      <c r="Q85" s="508">
        <f t="shared" si="5"/>
        <v>187117.18</v>
      </c>
      <c r="R85" s="519">
        <f t="shared" si="4"/>
        <v>187117.18</v>
      </c>
    </row>
    <row r="86" spans="1:18" x14ac:dyDescent="0.25">
      <c r="A86" s="505">
        <v>19</v>
      </c>
      <c r="B86" s="506" t="s">
        <v>177</v>
      </c>
      <c r="C86" s="505" t="s">
        <v>207</v>
      </c>
      <c r="D86" s="507">
        <v>3149968.52</v>
      </c>
      <c r="E86" s="539">
        <v>261804.23</v>
      </c>
      <c r="F86" s="539">
        <v>262560.39</v>
      </c>
      <c r="G86" s="539"/>
      <c r="H86" s="539"/>
      <c r="I86" s="539"/>
      <c r="J86" s="539"/>
      <c r="K86" s="540"/>
      <c r="L86" s="541"/>
      <c r="M86" s="541"/>
      <c r="N86" s="519"/>
      <c r="O86" s="537"/>
      <c r="Q86" s="508">
        <f t="shared" si="5"/>
        <v>524364.62</v>
      </c>
      <c r="R86" s="519">
        <f t="shared" si="4"/>
        <v>524364.62</v>
      </c>
    </row>
    <row r="87" spans="1:18" x14ac:dyDescent="0.25">
      <c r="A87" s="505">
        <v>20</v>
      </c>
      <c r="B87" s="506" t="s">
        <v>178</v>
      </c>
      <c r="C87" s="505" t="s">
        <v>208</v>
      </c>
      <c r="D87" s="507">
        <v>3267680.47</v>
      </c>
      <c r="E87" s="539">
        <v>271329</v>
      </c>
      <c r="F87" s="539">
        <v>272395.59000000003</v>
      </c>
      <c r="G87" s="539"/>
      <c r="H87" s="539"/>
      <c r="I87" s="539"/>
      <c r="J87" s="539"/>
      <c r="K87" s="540"/>
      <c r="L87" s="541"/>
      <c r="M87" s="541"/>
      <c r="N87" s="519"/>
      <c r="O87" s="537"/>
      <c r="Q87" s="508">
        <f t="shared" si="5"/>
        <v>543724.59000000008</v>
      </c>
      <c r="R87" s="519">
        <f t="shared" si="4"/>
        <v>543724.59000000008</v>
      </c>
    </row>
    <row r="88" spans="1:18" x14ac:dyDescent="0.25">
      <c r="A88" s="505">
        <v>21</v>
      </c>
      <c r="B88" s="506" t="s">
        <v>179</v>
      </c>
      <c r="C88" s="505" t="s">
        <v>209</v>
      </c>
      <c r="D88" s="507">
        <v>3244504.85</v>
      </c>
      <c r="E88" s="539">
        <v>269507.71999999997</v>
      </c>
      <c r="F88" s="539">
        <v>270454.28000000003</v>
      </c>
      <c r="G88" s="539"/>
      <c r="H88" s="539"/>
      <c r="I88" s="539"/>
      <c r="J88" s="539"/>
      <c r="K88" s="540"/>
      <c r="L88" s="541"/>
      <c r="M88" s="541"/>
      <c r="N88" s="519"/>
      <c r="O88" s="537"/>
      <c r="Q88" s="508">
        <f t="shared" si="5"/>
        <v>539962</v>
      </c>
      <c r="R88" s="519">
        <f t="shared" si="4"/>
        <v>539962</v>
      </c>
    </row>
    <row r="89" spans="1:18" x14ac:dyDescent="0.25">
      <c r="A89" s="505">
        <v>22</v>
      </c>
      <c r="B89" s="506" t="s">
        <v>180</v>
      </c>
      <c r="C89" s="505" t="s">
        <v>211</v>
      </c>
      <c r="D89" s="507">
        <v>8464587.6199999992</v>
      </c>
      <c r="E89" s="539">
        <v>702850.13</v>
      </c>
      <c r="F89" s="539">
        <v>705612.5</v>
      </c>
      <c r="G89" s="539"/>
      <c r="H89" s="539"/>
      <c r="I89" s="539"/>
      <c r="J89" s="539"/>
      <c r="K89" s="540"/>
      <c r="L89" s="541"/>
      <c r="M89" s="541"/>
      <c r="N89" s="519"/>
      <c r="O89" s="537"/>
      <c r="Q89" s="508">
        <f t="shared" si="5"/>
        <v>1408462.63</v>
      </c>
      <c r="R89" s="519">
        <f t="shared" si="4"/>
        <v>1408462.63</v>
      </c>
    </row>
    <row r="90" spans="1:18" x14ac:dyDescent="0.25">
      <c r="A90" s="505">
        <v>23</v>
      </c>
      <c r="B90" s="506">
        <v>3441</v>
      </c>
      <c r="C90" s="505" t="s">
        <v>229</v>
      </c>
      <c r="D90" s="507">
        <v>4358946.4000000004</v>
      </c>
      <c r="E90" s="539">
        <v>362240.2</v>
      </c>
      <c r="F90" s="539">
        <v>363336.93</v>
      </c>
      <c r="G90" s="539"/>
      <c r="H90" s="539"/>
      <c r="I90" s="539"/>
      <c r="J90" s="539"/>
      <c r="K90" s="540"/>
      <c r="L90" s="541"/>
      <c r="M90" s="541"/>
      <c r="N90" s="519"/>
      <c r="O90" s="537"/>
      <c r="Q90" s="508">
        <f t="shared" si="5"/>
        <v>725577.13</v>
      </c>
      <c r="R90" s="519">
        <f t="shared" si="4"/>
        <v>725577.13</v>
      </c>
    </row>
    <row r="91" spans="1:18" x14ac:dyDescent="0.25">
      <c r="A91" s="505">
        <v>24</v>
      </c>
      <c r="B91" s="506">
        <v>3924</v>
      </c>
      <c r="C91" s="505" t="s">
        <v>358</v>
      </c>
      <c r="D91" s="507">
        <v>3864428.6500000004</v>
      </c>
      <c r="E91" s="539">
        <v>321097.51</v>
      </c>
      <c r="F91" s="539">
        <v>322121.01</v>
      </c>
      <c r="G91" s="539"/>
      <c r="H91" s="539"/>
      <c r="I91" s="539"/>
      <c r="J91" s="539"/>
      <c r="K91" s="540"/>
      <c r="L91" s="541"/>
      <c r="M91" s="541"/>
      <c r="N91" s="519"/>
      <c r="O91" s="537"/>
      <c r="Q91" s="508">
        <f t="shared" si="5"/>
        <v>643218.52</v>
      </c>
      <c r="R91" s="519">
        <f t="shared" si="4"/>
        <v>643218.52</v>
      </c>
    </row>
    <row r="92" spans="1:18" x14ac:dyDescent="0.25">
      <c r="A92" s="505">
        <v>25</v>
      </c>
      <c r="B92" s="506" t="s">
        <v>181</v>
      </c>
      <c r="C92" s="505" t="s">
        <v>192</v>
      </c>
      <c r="D92" s="507">
        <v>2210934.4499999997</v>
      </c>
      <c r="E92" s="539">
        <v>183588.24</v>
      </c>
      <c r="F92" s="539">
        <v>184304.2</v>
      </c>
      <c r="G92" s="539"/>
      <c r="H92" s="539"/>
      <c r="I92" s="539"/>
      <c r="J92" s="539"/>
      <c r="K92" s="540"/>
      <c r="L92" s="541"/>
      <c r="M92" s="541"/>
      <c r="N92" s="519"/>
      <c r="O92" s="537"/>
      <c r="Q92" s="508">
        <f t="shared" si="5"/>
        <v>367892.44</v>
      </c>
      <c r="R92" s="519">
        <f t="shared" si="4"/>
        <v>367892.44</v>
      </c>
    </row>
    <row r="93" spans="1:18" x14ac:dyDescent="0.25">
      <c r="A93" s="505">
        <v>26</v>
      </c>
      <c r="B93" s="506" t="s">
        <v>182</v>
      </c>
      <c r="C93" s="505" t="s">
        <v>202</v>
      </c>
      <c r="D93" s="507">
        <v>2736635.01</v>
      </c>
      <c r="E93" s="539">
        <v>227226.19</v>
      </c>
      <c r="F93" s="539">
        <v>228128.07</v>
      </c>
      <c r="G93" s="539"/>
      <c r="H93" s="539"/>
      <c r="I93" s="539"/>
      <c r="J93" s="539"/>
      <c r="K93" s="540"/>
      <c r="L93" s="541"/>
      <c r="M93" s="541"/>
      <c r="N93" s="519"/>
      <c r="O93" s="537"/>
      <c r="Q93" s="508">
        <f t="shared" si="5"/>
        <v>455354.26</v>
      </c>
      <c r="R93" s="519">
        <f t="shared" si="4"/>
        <v>455354.26</v>
      </c>
    </row>
    <row r="94" spans="1:18" x14ac:dyDescent="0.25">
      <c r="A94" s="505">
        <v>27</v>
      </c>
      <c r="B94" s="506" t="s">
        <v>183</v>
      </c>
      <c r="C94" s="505" t="s">
        <v>323</v>
      </c>
      <c r="D94" s="507">
        <v>5518391.5700000003</v>
      </c>
      <c r="E94" s="539">
        <v>458603.06</v>
      </c>
      <c r="F94" s="539">
        <v>459980.77</v>
      </c>
      <c r="G94" s="539"/>
      <c r="H94" s="539"/>
      <c r="I94" s="539"/>
      <c r="J94" s="539"/>
      <c r="K94" s="540"/>
      <c r="L94" s="541"/>
      <c r="M94" s="541"/>
      <c r="N94" s="519"/>
      <c r="O94" s="537"/>
      <c r="Q94" s="508">
        <f t="shared" si="5"/>
        <v>918583.83000000007</v>
      </c>
      <c r="R94" s="519">
        <f t="shared" si="4"/>
        <v>918583.83000000007</v>
      </c>
    </row>
    <row r="95" spans="1:18" x14ac:dyDescent="0.25">
      <c r="A95" s="505">
        <v>28</v>
      </c>
      <c r="B95" s="506" t="s">
        <v>184</v>
      </c>
      <c r="C95" s="505" t="s">
        <v>220</v>
      </c>
      <c r="D95" s="507">
        <v>6039805.7000000002</v>
      </c>
      <c r="E95" s="539">
        <v>501572.04</v>
      </c>
      <c r="F95" s="539">
        <v>503475.79</v>
      </c>
      <c r="G95" s="539"/>
      <c r="H95" s="539"/>
      <c r="I95" s="539"/>
      <c r="J95" s="539"/>
      <c r="K95" s="540"/>
      <c r="L95" s="541"/>
      <c r="M95" s="541"/>
      <c r="N95" s="519"/>
      <c r="O95" s="537"/>
      <c r="Q95" s="508">
        <f t="shared" si="5"/>
        <v>1005047.83</v>
      </c>
      <c r="R95" s="519">
        <f t="shared" si="4"/>
        <v>1005047.83</v>
      </c>
    </row>
    <row r="96" spans="1:18" x14ac:dyDescent="0.25">
      <c r="A96" s="505">
        <v>29</v>
      </c>
      <c r="B96" s="506">
        <v>4002</v>
      </c>
      <c r="C96" s="505" t="s">
        <v>219</v>
      </c>
      <c r="D96" s="507">
        <v>9364415.1300000008</v>
      </c>
      <c r="E96" s="539">
        <v>777532.13</v>
      </c>
      <c r="F96" s="539">
        <v>780625.73</v>
      </c>
      <c r="G96" s="539"/>
      <c r="H96" s="539"/>
      <c r="I96" s="539"/>
      <c r="J96" s="539"/>
      <c r="K96" s="540"/>
      <c r="L96" s="541"/>
      <c r="M96" s="541"/>
      <c r="N96" s="519"/>
      <c r="O96" s="537"/>
      <c r="Q96" s="508">
        <f t="shared" si="5"/>
        <v>1558157.8599999999</v>
      </c>
      <c r="R96" s="519">
        <f t="shared" si="4"/>
        <v>1558157.8599999999</v>
      </c>
    </row>
    <row r="97" spans="1:18" x14ac:dyDescent="0.25">
      <c r="A97" s="505">
        <v>30</v>
      </c>
      <c r="B97" s="506">
        <v>4012</v>
      </c>
      <c r="C97" s="505" t="s">
        <v>222</v>
      </c>
      <c r="D97" s="507">
        <v>5324773.49</v>
      </c>
      <c r="E97" s="539">
        <v>442138</v>
      </c>
      <c r="F97" s="539">
        <v>443875.95</v>
      </c>
      <c r="G97" s="539"/>
      <c r="H97" s="539"/>
      <c r="I97" s="539"/>
      <c r="J97" s="539"/>
      <c r="K97" s="540"/>
      <c r="L97" s="541"/>
      <c r="M97" s="541"/>
      <c r="N97" s="519"/>
      <c r="O97" s="537"/>
      <c r="Q97" s="508">
        <f t="shared" si="5"/>
        <v>886013.95</v>
      </c>
      <c r="R97" s="519">
        <f t="shared" si="4"/>
        <v>886013.95</v>
      </c>
    </row>
    <row r="98" spans="1:18" x14ac:dyDescent="0.25">
      <c r="A98" s="505">
        <v>31</v>
      </c>
      <c r="B98" s="506">
        <v>4013</v>
      </c>
      <c r="C98" s="505" t="s">
        <v>224</v>
      </c>
      <c r="D98" s="507">
        <v>7881586.6499999994</v>
      </c>
      <c r="E98" s="539">
        <v>654398.57999999996</v>
      </c>
      <c r="F98" s="539">
        <v>657017.1</v>
      </c>
      <c r="G98" s="539"/>
      <c r="H98" s="539"/>
      <c r="I98" s="539"/>
      <c r="J98" s="539"/>
      <c r="K98" s="540"/>
      <c r="L98" s="541"/>
      <c r="M98" s="541"/>
      <c r="N98" s="519"/>
      <c r="O98" s="537"/>
      <c r="Q98" s="508">
        <f t="shared" si="5"/>
        <v>1311415.68</v>
      </c>
      <c r="R98" s="519">
        <f t="shared" si="4"/>
        <v>1311415.68</v>
      </c>
    </row>
    <row r="99" spans="1:18" x14ac:dyDescent="0.25">
      <c r="A99" s="505">
        <v>32</v>
      </c>
      <c r="B99" s="506">
        <v>4020</v>
      </c>
      <c r="C99" s="505" t="s">
        <v>329</v>
      </c>
      <c r="D99" s="507">
        <v>10221955.630000001</v>
      </c>
      <c r="E99" s="539">
        <v>848921.99</v>
      </c>
      <c r="F99" s="539">
        <v>852093.97</v>
      </c>
      <c r="G99" s="539"/>
      <c r="H99" s="539"/>
      <c r="I99" s="539"/>
      <c r="J99" s="539"/>
      <c r="K99" s="540"/>
      <c r="L99" s="541"/>
      <c r="M99" s="541"/>
      <c r="N99" s="519"/>
      <c r="O99" s="537"/>
      <c r="Q99" s="508">
        <f t="shared" si="5"/>
        <v>1701015.96</v>
      </c>
      <c r="R99" s="519">
        <f t="shared" si="4"/>
        <v>1701015.96</v>
      </c>
    </row>
    <row r="100" spans="1:18" x14ac:dyDescent="0.25">
      <c r="A100" s="505">
        <v>33</v>
      </c>
      <c r="B100" s="506">
        <v>4030</v>
      </c>
      <c r="C100" s="505" t="s">
        <v>317</v>
      </c>
      <c r="D100" s="507">
        <v>2743878.8399999994</v>
      </c>
      <c r="E100" s="539">
        <v>227815.64</v>
      </c>
      <c r="F100" s="539">
        <v>228733.02</v>
      </c>
      <c r="G100" s="539"/>
      <c r="H100" s="539"/>
      <c r="I100" s="539"/>
      <c r="J100" s="539"/>
      <c r="K100" s="540"/>
      <c r="L100" s="541"/>
      <c r="M100" s="541"/>
      <c r="N100" s="519"/>
      <c r="O100" s="537"/>
      <c r="Q100" s="508">
        <f t="shared" si="5"/>
        <v>456548.66000000003</v>
      </c>
      <c r="R100" s="519">
        <f t="shared" si="4"/>
        <v>456548.66000000003</v>
      </c>
    </row>
    <row r="101" spans="1:18" x14ac:dyDescent="0.25">
      <c r="A101" s="505">
        <v>34</v>
      </c>
      <c r="B101" s="506">
        <v>4031</v>
      </c>
      <c r="C101" s="505" t="s">
        <v>334</v>
      </c>
      <c r="D101" s="507">
        <v>4523431.59</v>
      </c>
      <c r="E101" s="539">
        <v>375586.71</v>
      </c>
      <c r="F101" s="539">
        <v>377076.81</v>
      </c>
      <c r="G101" s="539"/>
      <c r="H101" s="539"/>
      <c r="I101" s="539"/>
      <c r="J101" s="539"/>
      <c r="K101" s="540"/>
      <c r="L101" s="541"/>
      <c r="M101" s="541"/>
      <c r="N101" s="519"/>
      <c r="O101" s="537"/>
      <c r="Q101" s="508">
        <f t="shared" si="5"/>
        <v>752663.52</v>
      </c>
      <c r="R101" s="519">
        <f t="shared" si="4"/>
        <v>752663.52</v>
      </c>
    </row>
    <row r="102" spans="1:18" x14ac:dyDescent="0.25">
      <c r="A102" s="505">
        <v>35</v>
      </c>
      <c r="B102" s="506">
        <v>4041</v>
      </c>
      <c r="C102" s="505" t="s">
        <v>226</v>
      </c>
      <c r="D102" s="507">
        <v>734245.24</v>
      </c>
      <c r="E102" s="539">
        <v>60968.85</v>
      </c>
      <c r="F102" s="539">
        <v>61206.94</v>
      </c>
      <c r="G102" s="539"/>
      <c r="H102" s="539"/>
      <c r="I102" s="539"/>
      <c r="J102" s="539"/>
      <c r="K102" s="540"/>
      <c r="L102" s="541"/>
      <c r="M102" s="541"/>
      <c r="N102" s="519"/>
      <c r="O102" s="537"/>
      <c r="Q102" s="508">
        <f t="shared" si="5"/>
        <v>122175.79000000001</v>
      </c>
      <c r="R102" s="519">
        <f t="shared" si="4"/>
        <v>122175.79000000001</v>
      </c>
    </row>
    <row r="103" spans="1:18" x14ac:dyDescent="0.25">
      <c r="A103" s="505">
        <v>36</v>
      </c>
      <c r="B103" s="506">
        <v>4050</v>
      </c>
      <c r="C103" s="505" t="s">
        <v>217</v>
      </c>
      <c r="D103" s="507">
        <v>6599446.6700000018</v>
      </c>
      <c r="E103" s="539">
        <v>547951.48</v>
      </c>
      <c r="F103" s="539">
        <v>550135.93000000005</v>
      </c>
      <c r="G103" s="539"/>
      <c r="H103" s="539"/>
      <c r="I103" s="539"/>
      <c r="J103" s="539"/>
      <c r="K103" s="540"/>
      <c r="L103" s="541"/>
      <c r="M103" s="541"/>
      <c r="N103" s="519"/>
      <c r="O103" s="537"/>
      <c r="Q103" s="508">
        <f t="shared" si="5"/>
        <v>1098087.4100000001</v>
      </c>
      <c r="R103" s="519">
        <f t="shared" si="4"/>
        <v>1098087.4100000001</v>
      </c>
    </row>
    <row r="104" spans="1:18" x14ac:dyDescent="0.25">
      <c r="A104" s="505">
        <v>37</v>
      </c>
      <c r="B104" s="506">
        <v>4051</v>
      </c>
      <c r="C104" s="505" t="s">
        <v>215</v>
      </c>
      <c r="D104" s="507">
        <v>7242244.5699999994</v>
      </c>
      <c r="E104" s="539">
        <v>601326.9</v>
      </c>
      <c r="F104" s="539">
        <v>603719.79</v>
      </c>
      <c r="G104" s="539"/>
      <c r="H104" s="539"/>
      <c r="I104" s="539"/>
      <c r="J104" s="539"/>
      <c r="K104" s="540"/>
      <c r="L104" s="541"/>
      <c r="M104" s="541"/>
      <c r="N104" s="519"/>
      <c r="O104" s="537"/>
      <c r="Q104" s="508">
        <f t="shared" si="5"/>
        <v>1205046.69</v>
      </c>
      <c r="R104" s="519">
        <f t="shared" si="4"/>
        <v>1205046.69</v>
      </c>
    </row>
    <row r="105" spans="1:18" x14ac:dyDescent="0.25">
      <c r="A105" s="505">
        <v>38</v>
      </c>
      <c r="B105" s="506">
        <v>4061</v>
      </c>
      <c r="C105" s="505" t="s">
        <v>331</v>
      </c>
      <c r="D105" s="507">
        <v>8255108.2299999995</v>
      </c>
      <c r="E105" s="539">
        <v>685584.55</v>
      </c>
      <c r="F105" s="539">
        <v>688138.52</v>
      </c>
      <c r="G105" s="539"/>
      <c r="H105" s="539"/>
      <c r="I105" s="539"/>
      <c r="J105" s="539"/>
      <c r="K105" s="540"/>
      <c r="L105" s="541"/>
      <c r="M105" s="541"/>
      <c r="N105" s="519"/>
      <c r="O105" s="537"/>
      <c r="Q105" s="508">
        <f>SUM(E105:P105)</f>
        <v>1373723.07</v>
      </c>
      <c r="R105" s="519">
        <f t="shared" si="4"/>
        <v>1373723.07</v>
      </c>
    </row>
    <row r="106" spans="1:18" x14ac:dyDescent="0.25">
      <c r="A106" s="505">
        <v>39</v>
      </c>
      <c r="B106" s="506">
        <v>4080</v>
      </c>
      <c r="C106" s="505" t="s">
        <v>238</v>
      </c>
      <c r="D106" s="507">
        <v>2306384.2200000002</v>
      </c>
      <c r="E106" s="539">
        <v>191555.8</v>
      </c>
      <c r="F106" s="539">
        <v>192257.13</v>
      </c>
      <c r="G106" s="539"/>
      <c r="H106" s="539"/>
      <c r="I106" s="539"/>
      <c r="J106" s="539"/>
      <c r="K106" s="540"/>
      <c r="L106" s="541"/>
      <c r="M106" s="541"/>
      <c r="N106" s="519"/>
      <c r="O106" s="537"/>
      <c r="Q106" s="508">
        <f t="shared" ref="Q106:Q114" si="6">SUM(E106:P106)</f>
        <v>383812.93</v>
      </c>
      <c r="R106" s="519">
        <f t="shared" si="4"/>
        <v>383812.93</v>
      </c>
    </row>
    <row r="107" spans="1:18" x14ac:dyDescent="0.25">
      <c r="A107" s="505">
        <v>40</v>
      </c>
      <c r="B107" s="506">
        <v>4081</v>
      </c>
      <c r="C107" s="505" t="s">
        <v>235</v>
      </c>
      <c r="D107" s="507">
        <v>972278.55999999994</v>
      </c>
      <c r="E107" s="539">
        <v>80762.73</v>
      </c>
      <c r="F107" s="539">
        <v>81046.89</v>
      </c>
      <c r="G107" s="539"/>
      <c r="H107" s="539"/>
      <c r="I107" s="539"/>
      <c r="J107" s="539"/>
      <c r="K107" s="540"/>
      <c r="L107" s="541"/>
      <c r="M107" s="541"/>
      <c r="N107" s="519"/>
      <c r="O107" s="537"/>
      <c r="Q107" s="508">
        <f t="shared" si="6"/>
        <v>161809.62</v>
      </c>
      <c r="R107" s="519">
        <f t="shared" si="4"/>
        <v>161809.62</v>
      </c>
    </row>
    <row r="108" spans="1:18" x14ac:dyDescent="0.25">
      <c r="A108" s="505">
        <v>41</v>
      </c>
      <c r="B108" s="506">
        <v>4090</v>
      </c>
      <c r="C108" s="505" t="s">
        <v>293</v>
      </c>
      <c r="D108" s="507">
        <v>2702619.96</v>
      </c>
      <c r="E108" s="539">
        <v>224404.48000000001</v>
      </c>
      <c r="F108" s="539">
        <v>225292.32</v>
      </c>
      <c r="G108" s="539"/>
      <c r="H108" s="539"/>
      <c r="I108" s="539"/>
      <c r="J108" s="539"/>
      <c r="K108" s="540"/>
      <c r="L108" s="541"/>
      <c r="M108" s="541"/>
      <c r="N108" s="519"/>
      <c r="O108" s="537"/>
      <c r="Q108" s="508">
        <f t="shared" si="6"/>
        <v>449696.80000000005</v>
      </c>
      <c r="R108" s="519">
        <f t="shared" si="4"/>
        <v>449696.80000000005</v>
      </c>
    </row>
    <row r="109" spans="1:18" x14ac:dyDescent="0.25">
      <c r="A109" s="505">
        <v>42</v>
      </c>
      <c r="B109" s="506">
        <v>4091</v>
      </c>
      <c r="C109" s="505" t="s">
        <v>276</v>
      </c>
      <c r="D109" s="507">
        <v>3606721.18</v>
      </c>
      <c r="E109" s="539">
        <v>299464.48</v>
      </c>
      <c r="F109" s="539">
        <v>300659.7</v>
      </c>
      <c r="G109" s="539"/>
      <c r="H109" s="539"/>
      <c r="I109" s="539"/>
      <c r="J109" s="539"/>
      <c r="K109" s="540"/>
      <c r="L109" s="541"/>
      <c r="M109" s="541"/>
      <c r="N109" s="519"/>
      <c r="O109" s="537"/>
      <c r="Q109" s="508">
        <f t="shared" si="6"/>
        <v>600124.17999999993</v>
      </c>
      <c r="R109" s="519">
        <f t="shared" si="4"/>
        <v>600124.17999999993</v>
      </c>
    </row>
    <row r="110" spans="1:18" x14ac:dyDescent="0.25">
      <c r="A110" s="505">
        <v>43</v>
      </c>
      <c r="B110" s="506">
        <v>4100</v>
      </c>
      <c r="C110" s="505" t="s">
        <v>294</v>
      </c>
      <c r="D110" s="507">
        <v>3224376.77</v>
      </c>
      <c r="E110" s="539">
        <v>267680.53000000003</v>
      </c>
      <c r="F110" s="539">
        <v>268790.57</v>
      </c>
      <c r="G110" s="539"/>
      <c r="H110" s="539"/>
      <c r="I110" s="539"/>
      <c r="J110" s="539"/>
      <c r="K110" s="540"/>
      <c r="L110" s="541"/>
      <c r="M110" s="541"/>
      <c r="N110" s="519"/>
      <c r="O110" s="537"/>
      <c r="Q110" s="508">
        <f t="shared" si="6"/>
        <v>536471.10000000009</v>
      </c>
      <c r="R110" s="519">
        <f t="shared" si="4"/>
        <v>536471.10000000009</v>
      </c>
    </row>
    <row r="111" spans="1:18" x14ac:dyDescent="0.25">
      <c r="A111" s="505">
        <v>44</v>
      </c>
      <c r="B111" s="506">
        <v>4102</v>
      </c>
      <c r="C111" s="505" t="s">
        <v>295</v>
      </c>
      <c r="D111" s="507">
        <v>1010597.4900000001</v>
      </c>
      <c r="E111" s="539">
        <v>0</v>
      </c>
      <c r="F111" s="539">
        <v>0</v>
      </c>
      <c r="G111" s="539"/>
      <c r="H111" s="539"/>
      <c r="I111" s="539"/>
      <c r="J111" s="539"/>
      <c r="K111" s="540"/>
      <c r="L111" s="541"/>
      <c r="M111" s="541"/>
      <c r="N111" s="519"/>
      <c r="O111" s="537"/>
      <c r="Q111" s="547"/>
      <c r="R111" s="519">
        <f t="shared" si="4"/>
        <v>0</v>
      </c>
    </row>
    <row r="112" spans="1:18" x14ac:dyDescent="0.25">
      <c r="A112" s="505">
        <v>45</v>
      </c>
      <c r="B112" s="506">
        <v>4103</v>
      </c>
      <c r="C112" s="505" t="s">
        <v>307</v>
      </c>
      <c r="D112" s="507">
        <v>8473244.9000000022</v>
      </c>
      <c r="E112" s="539">
        <v>703538.19</v>
      </c>
      <c r="F112" s="539">
        <v>706336.97</v>
      </c>
      <c r="G112" s="539"/>
      <c r="H112" s="539"/>
      <c r="I112" s="539"/>
      <c r="J112" s="539"/>
      <c r="K112" s="540"/>
      <c r="L112" s="541"/>
      <c r="M112" s="541"/>
      <c r="N112" s="519"/>
      <c r="O112" s="537"/>
      <c r="Q112" s="508">
        <f t="shared" si="6"/>
        <v>1409875.16</v>
      </c>
      <c r="R112" s="519">
        <f t="shared" si="4"/>
        <v>1409875.16</v>
      </c>
    </row>
    <row r="113" spans="1:18" x14ac:dyDescent="0.25">
      <c r="A113" s="505">
        <v>46</v>
      </c>
      <c r="B113" s="506">
        <v>4111</v>
      </c>
      <c r="C113" s="505" t="s">
        <v>324</v>
      </c>
      <c r="D113" s="507">
        <v>2433286.09</v>
      </c>
      <c r="E113" s="539">
        <v>202038.36</v>
      </c>
      <c r="F113" s="539">
        <v>202840.7</v>
      </c>
      <c r="G113" s="539"/>
      <c r="H113" s="539"/>
      <c r="I113" s="539"/>
      <c r="J113" s="539"/>
      <c r="K113" s="540"/>
      <c r="L113" s="541"/>
      <c r="M113" s="541"/>
      <c r="N113" s="519"/>
      <c r="O113" s="537"/>
      <c r="Q113" s="508">
        <f t="shared" si="6"/>
        <v>404879.06</v>
      </c>
      <c r="R113" s="519">
        <f t="shared" si="4"/>
        <v>404879.06</v>
      </c>
    </row>
    <row r="114" spans="1:18" x14ac:dyDescent="0.25">
      <c r="A114" s="505">
        <v>47</v>
      </c>
      <c r="B114" s="506">
        <v>4131</v>
      </c>
      <c r="C114" s="505" t="s">
        <v>356</v>
      </c>
      <c r="D114" s="507">
        <v>533527.24000000011</v>
      </c>
      <c r="E114" s="539">
        <v>44299.33</v>
      </c>
      <c r="F114" s="539">
        <v>44475.26</v>
      </c>
      <c r="G114" s="539"/>
      <c r="H114" s="539"/>
      <c r="I114" s="539"/>
      <c r="J114" s="539"/>
      <c r="K114" s="540"/>
      <c r="L114" s="541"/>
      <c r="M114" s="541"/>
      <c r="N114" s="519"/>
      <c r="O114" s="537"/>
      <c r="Q114" s="508">
        <f t="shared" si="6"/>
        <v>88774.59</v>
      </c>
      <c r="R114" s="519">
        <f>SUM(E114:M114)</f>
        <v>88774.59</v>
      </c>
    </row>
    <row r="116" spans="1:18" x14ac:dyDescent="0.25">
      <c r="D116" s="507">
        <f>SUM(D68:D115)</f>
        <v>205901433.20000005</v>
      </c>
      <c r="E116" s="507">
        <f t="shared" ref="E116:R116" si="7">SUM(E68:E115)</f>
        <v>17016582.480000004</v>
      </c>
      <c r="F116" s="507">
        <f t="shared" si="7"/>
        <v>17079477.580000002</v>
      </c>
      <c r="G116" s="507">
        <f t="shared" si="7"/>
        <v>0</v>
      </c>
      <c r="H116" s="507">
        <f t="shared" si="7"/>
        <v>0</v>
      </c>
      <c r="I116" s="507">
        <f t="shared" si="7"/>
        <v>0</v>
      </c>
      <c r="J116" s="507">
        <f t="shared" si="7"/>
        <v>0</v>
      </c>
      <c r="K116" s="520">
        <f t="shared" si="7"/>
        <v>0</v>
      </c>
      <c r="L116" s="507">
        <f t="shared" si="7"/>
        <v>0</v>
      </c>
      <c r="M116" s="507">
        <f t="shared" si="7"/>
        <v>0</v>
      </c>
      <c r="N116" s="507">
        <f t="shared" si="7"/>
        <v>0</v>
      </c>
      <c r="O116" s="507">
        <f t="shared" si="7"/>
        <v>0</v>
      </c>
      <c r="P116" s="507">
        <f t="shared" si="7"/>
        <v>0</v>
      </c>
      <c r="Q116" s="507">
        <f>SUM(Q68:Q115)</f>
        <v>34096060.06000001</v>
      </c>
      <c r="R116" s="507">
        <f t="shared" si="7"/>
        <v>34096060.06000001</v>
      </c>
    </row>
    <row r="118" spans="1:18" x14ac:dyDescent="0.25">
      <c r="E118" s="507">
        <f>E53-E116</f>
        <v>0</v>
      </c>
    </row>
    <row r="119" spans="1:18" x14ac:dyDescent="0.25">
      <c r="E119" s="509"/>
    </row>
  </sheetData>
  <pageMargins left="0.7" right="0.7" top="0.75" bottom="0.75" header="0.3" footer="0.3"/>
  <pageSetup scale="35" fitToHeight="0" orientation="landscape" r:id="rId1"/>
  <ignoredErrors>
    <ignoredError sqref="Q6:Q50 Q69:R110 Q112:R114 R111"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142.62</v>
      </c>
      <c r="D14" s="141">
        <v>141.31</v>
      </c>
      <c r="E14" s="187">
        <f>IF(D$30=0,C14*2,C14+D14)</f>
        <v>283.93</v>
      </c>
      <c r="F14" s="682">
        <f>'1461'!F14:G14</f>
        <v>1.1180000000000001</v>
      </c>
      <c r="G14" s="682"/>
      <c r="H14" s="145">
        <f>ROUND(E14*F14,4)</f>
        <v>317.43369999999999</v>
      </c>
      <c r="I14" s="111">
        <f>ROUND(ROUND(ROUND(H14*$C$8,4)*($H$8),2)*(MAX($H$9,1)),2)</f>
        <v>1761275.8</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10.5</v>
      </c>
      <c r="D15" s="143">
        <v>9.51</v>
      </c>
      <c r="E15" s="116">
        <f t="shared" ref="E15:E29" si="1">IF(D$30=0,C15*2,C15+D15)</f>
        <v>20.009999999999998</v>
      </c>
      <c r="F15" s="678">
        <f>'1461'!F15:G15</f>
        <v>1.1180000000000001</v>
      </c>
      <c r="G15" s="678"/>
      <c r="H15" s="80">
        <f t="shared" ref="H15:H29" si="2">ROUND(E15*F15,4)</f>
        <v>22.371200000000002</v>
      </c>
      <c r="I15" s="101">
        <f t="shared" ref="I15:I29" si="3">ROUND(ROUND(ROUND(H15*$C$8,4)*($H$8),2)*(MAX($H$9,1)),2)</f>
        <v>124126.24</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178.85</v>
      </c>
      <c r="D16" s="143">
        <v>180.65</v>
      </c>
      <c r="E16" s="116">
        <f t="shared" si="1"/>
        <v>359.5</v>
      </c>
      <c r="F16" s="678">
        <f>'1461'!F16:G16</f>
        <v>1</v>
      </c>
      <c r="G16" s="678"/>
      <c r="H16" s="80">
        <f t="shared" si="2"/>
        <v>359.5</v>
      </c>
      <c r="I16" s="101">
        <f t="shared" si="3"/>
        <v>1994679.99</v>
      </c>
      <c r="N16" s="616" t="s">
        <v>22</v>
      </c>
      <c r="O16" s="616"/>
      <c r="P16" s="657">
        <f t="shared" si="0"/>
        <v>0</v>
      </c>
      <c r="Q16" s="657"/>
      <c r="R16" s="662">
        <v>1</v>
      </c>
      <c r="S16" s="662"/>
      <c r="T16" s="95">
        <f t="shared" si="4"/>
        <v>0</v>
      </c>
      <c r="U16" s="472">
        <f t="shared" si="5"/>
        <v>0</v>
      </c>
    </row>
    <row r="17" spans="1:21" x14ac:dyDescent="0.25">
      <c r="A17" s="593" t="s">
        <v>23</v>
      </c>
      <c r="B17" s="593"/>
      <c r="C17" s="143">
        <v>20.5</v>
      </c>
      <c r="D17" s="143">
        <v>20.23</v>
      </c>
      <c r="E17" s="116">
        <f t="shared" si="1"/>
        <v>40.730000000000004</v>
      </c>
      <c r="F17" s="678">
        <f>'1461'!F17:G17</f>
        <v>1</v>
      </c>
      <c r="G17" s="678"/>
      <c r="H17" s="80">
        <f t="shared" si="2"/>
        <v>40.729999999999997</v>
      </c>
      <c r="I17" s="101">
        <f t="shared" si="3"/>
        <v>225989.75</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22.88</v>
      </c>
      <c r="D26" s="143">
        <v>19.68</v>
      </c>
      <c r="E26" s="116">
        <f t="shared" si="1"/>
        <v>42.56</v>
      </c>
      <c r="F26" s="678">
        <f>'1461'!F26:G26</f>
        <v>1.1919999999999999</v>
      </c>
      <c r="G26" s="678"/>
      <c r="H26" s="80">
        <f t="shared" si="2"/>
        <v>50.731499999999997</v>
      </c>
      <c r="I26" s="101">
        <f t="shared" si="3"/>
        <v>281482.92</v>
      </c>
      <c r="N26" s="616" t="s">
        <v>85</v>
      </c>
      <c r="O26" s="616"/>
      <c r="P26" s="657">
        <f t="shared" si="0"/>
        <v>0</v>
      </c>
      <c r="Q26" s="657"/>
      <c r="R26" s="662">
        <v>1</v>
      </c>
      <c r="S26" s="662"/>
      <c r="T26" s="95">
        <f t="shared" si="4"/>
        <v>0</v>
      </c>
      <c r="U26" s="472">
        <f t="shared" si="5"/>
        <v>0</v>
      </c>
    </row>
    <row r="27" spans="1:21" x14ac:dyDescent="0.25">
      <c r="A27" s="593" t="s">
        <v>86</v>
      </c>
      <c r="B27" s="593"/>
      <c r="C27" s="143">
        <v>18.82</v>
      </c>
      <c r="D27" s="143">
        <v>15.22</v>
      </c>
      <c r="E27" s="116">
        <f t="shared" si="1"/>
        <v>34.04</v>
      </c>
      <c r="F27" s="678">
        <f>'1461'!F27:G27</f>
        <v>1.1919999999999999</v>
      </c>
      <c r="G27" s="678"/>
      <c r="H27" s="80">
        <f t="shared" si="2"/>
        <v>40.575699999999998</v>
      </c>
      <c r="I27" s="101">
        <f t="shared" si="3"/>
        <v>225133.62</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394.17</v>
      </c>
      <c r="D30" s="94">
        <f>SUM(D14:D29)</f>
        <v>386.60000000000008</v>
      </c>
      <c r="E30" s="94">
        <f>SUM(E14:E29)</f>
        <v>780.77</v>
      </c>
      <c r="F30" s="597"/>
      <c r="G30" s="597"/>
      <c r="H30" s="99">
        <f>SUM(H14:H29)</f>
        <v>831.34209999999996</v>
      </c>
      <c r="I30" s="94">
        <f>SUM(I14:I29)</f>
        <v>4612688.32</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831.34209999999996</v>
      </c>
      <c r="F46" s="34"/>
      <c r="G46" s="106"/>
      <c r="H46" s="107" t="s">
        <v>98</v>
      </c>
      <c r="I46" s="94">
        <f>SUM(I44,I30)</f>
        <v>4612688.32</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4612688.32</v>
      </c>
      <c r="G51" s="109" t="s">
        <v>6</v>
      </c>
      <c r="H51" s="400">
        <v>5.5899999999999998E-2</v>
      </c>
      <c r="I51" s="101">
        <f>ROUND(F51*H51,2)</f>
        <v>257849.28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4612688.32</v>
      </c>
      <c r="G52" s="109" t="s">
        <v>6</v>
      </c>
      <c r="H52" s="400">
        <v>1.0699999999999999E-2</v>
      </c>
      <c r="I52" s="101">
        <f>ROUND(F52*H52,2)</f>
        <v>49355.77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307205.05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7.5</v>
      </c>
      <c r="D57" s="143">
        <v>6.47</v>
      </c>
      <c r="E57" s="116">
        <f t="shared" ref="E57:E65" si="10">IF(D$66=0,C57*2,C57+D57)</f>
        <v>13.969999999999999</v>
      </c>
      <c r="F57" s="442" t="s">
        <v>437</v>
      </c>
      <c r="G57" s="442">
        <v>251</v>
      </c>
      <c r="H57" s="456">
        <f>'1461'!H57</f>
        <v>1047</v>
      </c>
      <c r="I57" s="101">
        <f>ROUND(E57*H57,2)</f>
        <v>14626.59</v>
      </c>
      <c r="N57" s="633" t="s">
        <v>445</v>
      </c>
      <c r="O57" s="633"/>
      <c r="P57" s="636"/>
      <c r="Q57" s="636"/>
      <c r="R57" s="448" t="s">
        <v>437</v>
      </c>
      <c r="S57" s="448">
        <v>251</v>
      </c>
      <c r="T57" s="459">
        <f>H57</f>
        <v>1047</v>
      </c>
      <c r="U57" s="473">
        <f>ROUND(P57*T57,2)</f>
        <v>0</v>
      </c>
      <c r="V57" s="423"/>
    </row>
    <row r="58" spans="1:22" x14ac:dyDescent="0.25">
      <c r="A58" s="604"/>
      <c r="B58" s="604"/>
      <c r="C58" s="143">
        <v>2.5</v>
      </c>
      <c r="D58" s="143">
        <v>2.5299999999999998</v>
      </c>
      <c r="E58" s="116">
        <f t="shared" si="10"/>
        <v>5.0299999999999994</v>
      </c>
      <c r="F58" s="442" t="s">
        <v>437</v>
      </c>
      <c r="G58" s="442">
        <v>252</v>
      </c>
      <c r="H58" s="456">
        <f>'1461'!H58</f>
        <v>3380</v>
      </c>
      <c r="I58" s="101">
        <f t="shared" ref="I58:I65" si="11">ROUND(E58*H58,2)</f>
        <v>17001.400000000001</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0.5</v>
      </c>
      <c r="D59" s="143">
        <v>0.51</v>
      </c>
      <c r="E59" s="116">
        <f t="shared" si="10"/>
        <v>1.01</v>
      </c>
      <c r="F59" s="442" t="s">
        <v>437</v>
      </c>
      <c r="G59" s="442">
        <v>253</v>
      </c>
      <c r="H59" s="456">
        <f>'1461'!H59</f>
        <v>6896</v>
      </c>
      <c r="I59" s="101">
        <f t="shared" si="11"/>
        <v>6964.96</v>
      </c>
      <c r="N59" s="634"/>
      <c r="O59" s="634"/>
      <c r="P59" s="637"/>
      <c r="Q59" s="637"/>
      <c r="R59" s="448" t="s">
        <v>437</v>
      </c>
      <c r="S59" s="448">
        <v>253</v>
      </c>
      <c r="T59" s="459">
        <f t="shared" si="12"/>
        <v>6896</v>
      </c>
      <c r="U59" s="473">
        <f t="shared" si="13"/>
        <v>0</v>
      </c>
      <c r="V59" s="423"/>
    </row>
    <row r="60" spans="1:22" x14ac:dyDescent="0.25">
      <c r="A60" s="604"/>
      <c r="B60" s="604"/>
      <c r="C60" s="143">
        <v>20.5</v>
      </c>
      <c r="D60" s="143">
        <v>20.23</v>
      </c>
      <c r="E60" s="116">
        <f t="shared" si="10"/>
        <v>40.730000000000004</v>
      </c>
      <c r="F60" s="443" t="s">
        <v>13</v>
      </c>
      <c r="G60" s="442">
        <v>251</v>
      </c>
      <c r="H60" s="456">
        <f>'1461'!H60</f>
        <v>1173</v>
      </c>
      <c r="I60" s="101">
        <f t="shared" si="11"/>
        <v>47776.29</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31</v>
      </c>
      <c r="D66" s="97">
        <f>SUM(D57:D65)</f>
        <v>29.740000000000002</v>
      </c>
      <c r="E66" s="97">
        <f>SUM(E57:E65)</f>
        <v>60.740000000000009</v>
      </c>
      <c r="F66" s="605" t="s">
        <v>446</v>
      </c>
      <c r="G66" s="605"/>
      <c r="H66" s="605"/>
      <c r="I66" s="97">
        <f>SUM(I57:I65)</f>
        <v>86369.24</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780.77</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3.7139999999999999E-3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831.34209999999996</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3.539E-3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780.77</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4.1599999999999996E-3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780.77</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3.7200000000000002E-3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780.77</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4.1679999999999998E-3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3.7200000000000002E-3</v>
      </c>
      <c r="I85" s="101">
        <f>ROUND(F85*H85,2)</f>
        <v>171728.98</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3.7139999999999999E-3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4.1679999999999998E-3</v>
      </c>
      <c r="I90" s="101">
        <f>ROUND(F90*H90,2)</f>
        <v>79367.16</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4.1599999999999996E-3</v>
      </c>
      <c r="I92" s="101">
        <f t="shared" ref="I92:I96" si="14">ROUND(F92*H92,2)</f>
        <v>47595.19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3.539E-3</v>
      </c>
      <c r="I94" s="101">
        <f t="shared" si="14"/>
        <v>905123.37</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3.539E-3</v>
      </c>
      <c r="I96" s="101">
        <f t="shared" si="14"/>
        <v>-5611.29</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3.7139999999999999E-3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390.53639999999996</v>
      </c>
      <c r="D104" s="611"/>
      <c r="E104" s="46">
        <f>H8</f>
        <v>1.0407999999999999</v>
      </c>
      <c r="F104" s="302">
        <f>'1461'!F104</f>
        <v>950.92</v>
      </c>
      <c r="G104" s="39" t="s">
        <v>12</v>
      </c>
      <c r="H104" s="101">
        <f>ROUND(C104*E104*F104,2)</f>
        <v>386520.72</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440.8057</v>
      </c>
      <c r="D105" s="611"/>
      <c r="E105" s="46">
        <f>H8</f>
        <v>1.0407999999999999</v>
      </c>
      <c r="F105" s="302">
        <f>'1461'!F105</f>
        <v>907.92</v>
      </c>
      <c r="G105" s="39" t="s">
        <v>12</v>
      </c>
      <c r="H105" s="101">
        <f>ROUND(C105*E105*F105,2)</f>
        <v>416545.14</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831.34209999999996</v>
      </c>
      <c r="D107" s="601"/>
      <c r="E107" s="123"/>
      <c r="F107" s="123"/>
      <c r="G107" s="123"/>
      <c r="H107" s="124" t="s">
        <v>100</v>
      </c>
      <c r="I107" s="101">
        <f>IF(A1=75,0,H106+H105+H104)</f>
        <v>803065.86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3</v>
      </c>
      <c r="D113" s="143">
        <v>1</v>
      </c>
      <c r="E113" s="116">
        <f>(C113+D113)/2</f>
        <v>2</v>
      </c>
      <c r="F113" s="126" t="s">
        <v>30</v>
      </c>
      <c r="G113" s="303">
        <f>'1461'!G113</f>
        <v>567</v>
      </c>
      <c r="I113" s="101">
        <f>ROUND(G113*E113,2)</f>
        <v>1134</v>
      </c>
      <c r="N113" s="645" t="s">
        <v>52</v>
      </c>
      <c r="O113" s="645"/>
      <c r="P113" s="625">
        <f>IF(H133=1,E113,0)</f>
        <v>0</v>
      </c>
      <c r="Q113" s="625"/>
      <c r="R113" s="625"/>
      <c r="S113" s="83" t="s">
        <v>30</v>
      </c>
      <c r="T113" s="58">
        <f>G113</f>
        <v>567</v>
      </c>
      <c r="U113" s="472">
        <f>ROUND(T113*P113,2)</f>
        <v>0</v>
      </c>
    </row>
    <row r="114" spans="1:21" x14ac:dyDescent="0.25">
      <c r="A114" s="572" t="s">
        <v>382</v>
      </c>
      <c r="B114" s="573"/>
      <c r="C114" s="143">
        <v>1</v>
      </c>
      <c r="D114" s="143">
        <v>0</v>
      </c>
      <c r="E114" s="116">
        <f>(C114+D114)/2</f>
        <v>0.5</v>
      </c>
      <c r="F114" s="126" t="s">
        <v>30</v>
      </c>
      <c r="G114" s="303">
        <f>'1461'!G114</f>
        <v>1821</v>
      </c>
      <c r="I114" s="101">
        <f>ROUND(G114*E114,2)</f>
        <v>910.5</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6702371.3300000019</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6395166.2800000021</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88" t="s">
        <v>500</v>
      </c>
      <c r="O132" s="689"/>
      <c r="P132" s="689"/>
      <c r="Q132" s="689"/>
      <c r="R132" s="689"/>
      <c r="S132" s="689"/>
      <c r="T132" s="689"/>
      <c r="U132" s="138"/>
    </row>
    <row r="133" spans="1:21" x14ac:dyDescent="0.25">
      <c r="A133" s="593" t="s">
        <v>70</v>
      </c>
      <c r="B133" s="593"/>
      <c r="C133" s="593"/>
      <c r="D133" s="593"/>
      <c r="E133" s="593"/>
      <c r="F133" s="593"/>
      <c r="G133" s="593"/>
      <c r="H133" s="70" t="str">
        <f>IF(E30=0,"",IF((E15+E17+SUM(E19:E25))/E30&gt;0.75,1,""))</f>
        <v/>
      </c>
      <c r="I133" s="116">
        <f>U130</f>
        <v>0</v>
      </c>
      <c r="N133" s="689" t="s">
        <v>70</v>
      </c>
      <c r="O133" s="689"/>
      <c r="P133" s="689"/>
      <c r="Q133" s="689"/>
      <c r="R133" s="689"/>
      <c r="S133" s="689"/>
      <c r="T133" s="689"/>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6395166.2800000021</v>
      </c>
      <c r="I135" s="94">
        <f>ROUND(IF(E30=0,0,IF(E30&gt;250,-(((250/E30)*H135)*IF(G135="H",0.02,0.05)),IF(G135="H",-0.02*H135,-0.05*H135))),2)</f>
        <v>-102385.57</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6599985.7600000016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-1098087.4100000001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5501898.3500000015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550189.84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217372.74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135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152.03</v>
      </c>
      <c r="D14" s="141">
        <v>150.24</v>
      </c>
      <c r="E14" s="187">
        <f>IF(D$30=0,C14*2,C14+D14)</f>
        <v>302.27</v>
      </c>
      <c r="F14" s="682">
        <f>'1461'!F14:G14</f>
        <v>1.1180000000000001</v>
      </c>
      <c r="G14" s="682"/>
      <c r="H14" s="145">
        <f>ROUND(E14*F14,4)</f>
        <v>337.93790000000001</v>
      </c>
      <c r="I14" s="111">
        <f>ROUND(ROUND(ROUND(H14*$C$8,4)*($H$8),2)*(MAX($H$9,1)),2)</f>
        <v>1875043.03</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11</v>
      </c>
      <c r="D15" s="143">
        <v>13.15</v>
      </c>
      <c r="E15" s="116">
        <f t="shared" ref="E15:E29" si="1">IF(D$30=0,C15*2,C15+D15)</f>
        <v>24.15</v>
      </c>
      <c r="F15" s="678">
        <f>'1461'!F15:G15</f>
        <v>1.1180000000000001</v>
      </c>
      <c r="G15" s="678"/>
      <c r="H15" s="80">
        <f t="shared" ref="H15:H29" si="2">ROUND(E15*F15,4)</f>
        <v>26.999700000000001</v>
      </c>
      <c r="I15" s="101">
        <f t="shared" ref="I15:I29" si="3">ROUND(ROUND(ROUND(H15*$C$8,4)*($H$8),2)*(MAX($H$9,1)),2)</f>
        <v>149807.4</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169.44</v>
      </c>
      <c r="D16" s="143">
        <v>170.65</v>
      </c>
      <c r="E16" s="116">
        <f t="shared" si="1"/>
        <v>340.09000000000003</v>
      </c>
      <c r="F16" s="678">
        <f>'1461'!F16:G16</f>
        <v>1</v>
      </c>
      <c r="G16" s="678"/>
      <c r="H16" s="80">
        <f t="shared" si="2"/>
        <v>340.09</v>
      </c>
      <c r="I16" s="101">
        <f t="shared" si="3"/>
        <v>1886983.92</v>
      </c>
      <c r="N16" s="616" t="s">
        <v>22</v>
      </c>
      <c r="O16" s="616"/>
      <c r="P16" s="657">
        <f t="shared" si="0"/>
        <v>0</v>
      </c>
      <c r="Q16" s="657"/>
      <c r="R16" s="662">
        <v>1</v>
      </c>
      <c r="S16" s="662"/>
      <c r="T16" s="95">
        <f t="shared" si="4"/>
        <v>0</v>
      </c>
      <c r="U16" s="472">
        <f t="shared" si="5"/>
        <v>0</v>
      </c>
    </row>
    <row r="17" spans="1:21" x14ac:dyDescent="0.25">
      <c r="A17" s="593" t="s">
        <v>23</v>
      </c>
      <c r="B17" s="593"/>
      <c r="C17" s="143">
        <v>28</v>
      </c>
      <c r="D17" s="143">
        <v>28.55</v>
      </c>
      <c r="E17" s="116">
        <f t="shared" si="1"/>
        <v>56.55</v>
      </c>
      <c r="F17" s="678">
        <f>'1461'!F17:G17</f>
        <v>1</v>
      </c>
      <c r="G17" s="678"/>
      <c r="H17" s="80">
        <f t="shared" si="2"/>
        <v>56.55</v>
      </c>
      <c r="I17" s="101">
        <f t="shared" si="3"/>
        <v>313766.77</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30.97</v>
      </c>
      <c r="D26" s="143">
        <v>31.86</v>
      </c>
      <c r="E26" s="116">
        <f t="shared" si="1"/>
        <v>62.83</v>
      </c>
      <c r="F26" s="678">
        <f>'1461'!F26:G26</f>
        <v>1.1919999999999999</v>
      </c>
      <c r="G26" s="678"/>
      <c r="H26" s="80">
        <f t="shared" si="2"/>
        <v>74.8934</v>
      </c>
      <c r="I26" s="101">
        <f t="shared" si="3"/>
        <v>415544.83</v>
      </c>
      <c r="N26" s="616" t="s">
        <v>85</v>
      </c>
      <c r="O26" s="616"/>
      <c r="P26" s="657">
        <f t="shared" si="0"/>
        <v>0</v>
      </c>
      <c r="Q26" s="657"/>
      <c r="R26" s="662">
        <v>1</v>
      </c>
      <c r="S26" s="662"/>
      <c r="T26" s="95">
        <f t="shared" si="4"/>
        <v>0</v>
      </c>
      <c r="U26" s="472">
        <f t="shared" si="5"/>
        <v>0</v>
      </c>
    </row>
    <row r="27" spans="1:21" x14ac:dyDescent="0.25">
      <c r="A27" s="593" t="s">
        <v>86</v>
      </c>
      <c r="B27" s="593"/>
      <c r="C27" s="143">
        <v>28.93</v>
      </c>
      <c r="D27" s="143">
        <v>32.380000000000003</v>
      </c>
      <c r="E27" s="116">
        <f t="shared" si="1"/>
        <v>61.31</v>
      </c>
      <c r="F27" s="678">
        <f>'1461'!F27:G27</f>
        <v>1.1919999999999999</v>
      </c>
      <c r="G27" s="678"/>
      <c r="H27" s="80">
        <f t="shared" si="2"/>
        <v>73.081500000000005</v>
      </c>
      <c r="I27" s="101">
        <f t="shared" si="3"/>
        <v>405491.53</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420.37000000000006</v>
      </c>
      <c r="D30" s="94">
        <f>SUM(D14:D29)</f>
        <v>426.83000000000004</v>
      </c>
      <c r="E30" s="94">
        <f>SUM(E14:E29)</f>
        <v>847.2</v>
      </c>
      <c r="F30" s="597"/>
      <c r="G30" s="597"/>
      <c r="H30" s="99">
        <f>SUM(H14:H29)</f>
        <v>909.55250000000001</v>
      </c>
      <c r="I30" s="94">
        <f>SUM(I14:I29)</f>
        <v>5046637.4799999995</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909.55250000000001</v>
      </c>
      <c r="F46" s="34"/>
      <c r="G46" s="106"/>
      <c r="H46" s="107" t="s">
        <v>98</v>
      </c>
      <c r="I46" s="94">
        <f>SUM(I44,I30)</f>
        <v>5046637.4799999995</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 t="s">
        <v>514</v>
      </c>
      <c r="C51" s="26"/>
      <c r="D51" s="26"/>
      <c r="E51" s="43" t="s">
        <v>399</v>
      </c>
      <c r="F51" s="399">
        <v>5046637.4799999995</v>
      </c>
      <c r="G51" s="109" t="s">
        <v>6</v>
      </c>
      <c r="H51" s="400">
        <v>5.5899999999999998E-2</v>
      </c>
      <c r="I51" s="101">
        <f>ROUND(F51*H51,2)</f>
        <v>282107.03999999998</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5046637.4799999995</v>
      </c>
      <c r="G52" s="109" t="s">
        <v>6</v>
      </c>
      <c r="H52" s="400">
        <v>1.0699999999999999E-2</v>
      </c>
      <c r="I52" s="101">
        <f>ROUND(F52*H52,2)</f>
        <v>53999.02</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336106.06</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9.5</v>
      </c>
      <c r="D57" s="143">
        <v>11.73</v>
      </c>
      <c r="E57" s="116">
        <f t="shared" ref="E57:E65" si="10">IF(D$66=0,C57*2,C57+D57)</f>
        <v>21.23</v>
      </c>
      <c r="F57" s="442" t="s">
        <v>437</v>
      </c>
      <c r="G57" s="442">
        <v>251</v>
      </c>
      <c r="H57" s="456">
        <f>'1461'!H57</f>
        <v>1047</v>
      </c>
      <c r="I57" s="101">
        <f>ROUND(E57*H57,2)</f>
        <v>22227.81</v>
      </c>
      <c r="N57" s="633" t="s">
        <v>445</v>
      </c>
      <c r="O57" s="633"/>
      <c r="P57" s="636"/>
      <c r="Q57" s="636"/>
      <c r="R57" s="448" t="s">
        <v>437</v>
      </c>
      <c r="S57" s="448">
        <v>251</v>
      </c>
      <c r="T57" s="459">
        <f>H57</f>
        <v>1047</v>
      </c>
      <c r="U57" s="473">
        <f>ROUND(P57*T57,2)</f>
        <v>0</v>
      </c>
      <c r="V57" s="423"/>
    </row>
    <row r="58" spans="1:22" x14ac:dyDescent="0.25">
      <c r="A58" s="604"/>
      <c r="B58" s="604"/>
      <c r="C58" s="143">
        <v>1.5</v>
      </c>
      <c r="D58" s="143">
        <v>0.91</v>
      </c>
      <c r="E58" s="116">
        <f t="shared" si="10"/>
        <v>2.41</v>
      </c>
      <c r="F58" s="442" t="s">
        <v>437</v>
      </c>
      <c r="G58" s="442">
        <v>252</v>
      </c>
      <c r="H58" s="456">
        <f>'1461'!H58</f>
        <v>3380</v>
      </c>
      <c r="I58" s="101">
        <f t="shared" ref="I58:I65" si="11">ROUND(E58*H58,2)</f>
        <v>8145.8</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0.51</v>
      </c>
      <c r="E59" s="116">
        <f t="shared" si="10"/>
        <v>0.51</v>
      </c>
      <c r="F59" s="442" t="s">
        <v>437</v>
      </c>
      <c r="G59" s="442">
        <v>253</v>
      </c>
      <c r="H59" s="456">
        <f>'1461'!H59</f>
        <v>6896</v>
      </c>
      <c r="I59" s="101">
        <f t="shared" si="11"/>
        <v>3516.96</v>
      </c>
      <c r="N59" s="634"/>
      <c r="O59" s="634"/>
      <c r="P59" s="637"/>
      <c r="Q59" s="637"/>
      <c r="R59" s="448" t="s">
        <v>437</v>
      </c>
      <c r="S59" s="448">
        <v>253</v>
      </c>
      <c r="T59" s="459">
        <f t="shared" si="12"/>
        <v>6896</v>
      </c>
      <c r="U59" s="473">
        <f t="shared" si="13"/>
        <v>0</v>
      </c>
      <c r="V59" s="423"/>
    </row>
    <row r="60" spans="1:22" x14ac:dyDescent="0.25">
      <c r="A60" s="604"/>
      <c r="B60" s="604"/>
      <c r="C60" s="143">
        <v>26.5</v>
      </c>
      <c r="D60" s="143">
        <v>25.54</v>
      </c>
      <c r="E60" s="116">
        <f t="shared" si="10"/>
        <v>52.04</v>
      </c>
      <c r="F60" s="443" t="s">
        <v>13</v>
      </c>
      <c r="G60" s="442">
        <v>251</v>
      </c>
      <c r="H60" s="456">
        <f>'1461'!H60</f>
        <v>1173</v>
      </c>
      <c r="I60" s="101">
        <f t="shared" si="11"/>
        <v>61042.92</v>
      </c>
      <c r="N60" s="634"/>
      <c r="O60" s="634"/>
      <c r="P60" s="637"/>
      <c r="Q60" s="637"/>
      <c r="R60" s="40" t="s">
        <v>13</v>
      </c>
      <c r="S60" s="448">
        <v>251</v>
      </c>
      <c r="T60" s="459">
        <f t="shared" si="12"/>
        <v>1173</v>
      </c>
      <c r="U60" s="473">
        <f t="shared" si="13"/>
        <v>0</v>
      </c>
      <c r="V60" s="423"/>
    </row>
    <row r="61" spans="1:22" x14ac:dyDescent="0.25">
      <c r="A61" s="604"/>
      <c r="B61" s="604"/>
      <c r="C61" s="143">
        <v>1.5</v>
      </c>
      <c r="D61" s="143">
        <v>3.01</v>
      </c>
      <c r="E61" s="116">
        <f t="shared" si="10"/>
        <v>4.51</v>
      </c>
      <c r="F61" s="443" t="s">
        <v>13</v>
      </c>
      <c r="G61" s="442">
        <v>252</v>
      </c>
      <c r="H61" s="456">
        <f>'1461'!H61</f>
        <v>3506</v>
      </c>
      <c r="I61" s="101">
        <f t="shared" si="11"/>
        <v>15812.06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IF(D$66=0,C62*2,C62+D62)</f>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39</v>
      </c>
      <c r="D66" s="97">
        <f>SUM(D57:D65)</f>
        <v>41.699999999999996</v>
      </c>
      <c r="E66" s="97">
        <f>SUM(E57:E65)</f>
        <v>80.7</v>
      </c>
      <c r="F66" s="605" t="s">
        <v>446</v>
      </c>
      <c r="G66" s="605"/>
      <c r="H66" s="605"/>
      <c r="I66" s="97">
        <f>SUM(I57:I65)</f>
        <v>110745.54999999999</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847.2</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4.0299999999999997E-3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909.55250000000001</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3.872E-3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847.2</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4.5139999999999998E-3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847.2</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4.0359999999999997E-3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847.2</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4.5230000000000001E-3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4.0359999999999997E-3</v>
      </c>
      <c r="I85" s="101">
        <f>ROUND(F85*H85,2)</f>
        <v>186316.71</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4.0299999999999997E-3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4.5230000000000001E-3</v>
      </c>
      <c r="I90" s="101">
        <f>ROUND(F90*H90,2)</f>
        <v>86127.08</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4.5139999999999998E-3</v>
      </c>
      <c r="I92" s="101">
        <f t="shared" ref="I92:I96" si="14">ROUND(F92*H92,2)</f>
        <v>51645.36</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3.872E-3</v>
      </c>
      <c r="I94" s="101">
        <f t="shared" si="14"/>
        <v>990290.39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3.872E-3</v>
      </c>
      <c r="I96" s="101">
        <f t="shared" si="14"/>
        <v>-6139.28</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4.0299999999999997E-3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439.83100000000002</v>
      </c>
      <c r="D104" s="611"/>
      <c r="E104" s="46">
        <f>H8</f>
        <v>1.0407999999999999</v>
      </c>
      <c r="F104" s="302">
        <f>'1461'!F104</f>
        <v>950.92</v>
      </c>
      <c r="G104" s="39" t="s">
        <v>12</v>
      </c>
      <c r="H104" s="101">
        <f>ROUND(C104*E104*F104,2)</f>
        <v>435308.45</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469.72149999999999</v>
      </c>
      <c r="D105" s="611"/>
      <c r="E105" s="46">
        <f>H8</f>
        <v>1.0407999999999999</v>
      </c>
      <c r="F105" s="302">
        <f>'1461'!F105</f>
        <v>907.92</v>
      </c>
      <c r="G105" s="39" t="s">
        <v>12</v>
      </c>
      <c r="H105" s="101">
        <f>ROUND(C105*E105*F105,2)</f>
        <v>443869.5</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909.55250000000001</v>
      </c>
      <c r="D107" s="601"/>
      <c r="E107" s="123"/>
      <c r="F107" s="123"/>
      <c r="G107" s="123"/>
      <c r="H107" s="124" t="s">
        <v>100</v>
      </c>
      <c r="I107" s="101">
        <f>IF(A1=75,0,H106+H105+H104)</f>
        <v>879177.95</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4</v>
      </c>
      <c r="D113" s="143">
        <v>1</v>
      </c>
      <c r="E113" s="116">
        <f>(C113+D113)/2</f>
        <v>2.5</v>
      </c>
      <c r="F113" s="126" t="s">
        <v>30</v>
      </c>
      <c r="G113" s="303">
        <f>'1461'!G113</f>
        <v>567</v>
      </c>
      <c r="I113" s="101">
        <f>ROUND(G113*E113,2)</f>
        <v>1417.5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7346218.7399999993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7010112.6799999997</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7010112.6799999997</v>
      </c>
      <c r="I135" s="94">
        <f>ROUND(IF(E30=0,0,IF(E30&gt;250,-(((250/E30)*H135)*IF(G135="H",0.02,0.05)),IF(G135="H",-0.02*H135,-0.05*H135))),2)</f>
        <v>-103430.6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7242788.1399999997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Payments'!Q104</f>
        <v>-1205046.69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6037741.4499999993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603774.15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247075.03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332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J11" s="255"/>
      <c r="K11" s="254"/>
      <c r="L11" s="254"/>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J12" s="253"/>
      <c r="K12" s="254"/>
      <c r="L12" s="254"/>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K13" s="254"/>
      <c r="L13" s="254"/>
      <c r="N13" s="669" t="s">
        <v>36</v>
      </c>
      <c r="O13" s="669"/>
      <c r="P13" s="670" t="s">
        <v>37</v>
      </c>
      <c r="Q13" s="670"/>
      <c r="R13" s="671" t="s">
        <v>38</v>
      </c>
      <c r="S13" s="671"/>
      <c r="T13" s="22" t="s">
        <v>39</v>
      </c>
      <c r="U13" s="23" t="s">
        <v>40</v>
      </c>
    </row>
    <row r="14" spans="1:21" x14ac:dyDescent="0.25">
      <c r="A14" s="591" t="s">
        <v>20</v>
      </c>
      <c r="B14" s="591"/>
      <c r="C14" s="143">
        <v>189.79</v>
      </c>
      <c r="D14" s="141">
        <v>190.75</v>
      </c>
      <c r="E14" s="187">
        <f>IF(D$30=0,C14*2,C14+D14)</f>
        <v>380.53999999999996</v>
      </c>
      <c r="F14" s="682">
        <f>'1461'!F14:G14</f>
        <v>1.1180000000000001</v>
      </c>
      <c r="G14" s="682"/>
      <c r="H14" s="145">
        <f>ROUND(E14*F14,4)</f>
        <v>425.44369999999998</v>
      </c>
      <c r="I14" s="111">
        <f>ROUND(ROUND(ROUND(H14*$C$8,4)*($H$8),2)*(MAX($H$9,1)),2)</f>
        <v>2360567.56</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12</v>
      </c>
      <c r="D15" s="143">
        <v>12.94</v>
      </c>
      <c r="E15" s="116">
        <f t="shared" ref="E15:E29" si="1">IF(D$30=0,C15*2,C15+D15)</f>
        <v>24.939999999999998</v>
      </c>
      <c r="F15" s="678">
        <f>'1461'!F15:G15</f>
        <v>1.1180000000000001</v>
      </c>
      <c r="G15" s="678"/>
      <c r="H15" s="80">
        <f t="shared" ref="H15:H29" si="2">ROUND(E15*F15,4)</f>
        <v>27.882899999999999</v>
      </c>
      <c r="I15" s="101">
        <f t="shared" ref="I15:I29" si="3">ROUND(ROUND(ROUND(H15*$C$8,4)*($H$8),2)*(MAX($H$9,1)),2)</f>
        <v>154707.82</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225.8</v>
      </c>
      <c r="D16" s="143">
        <v>223.61</v>
      </c>
      <c r="E16" s="116">
        <f t="shared" si="1"/>
        <v>449.41</v>
      </c>
      <c r="F16" s="678">
        <f>'1461'!F16:G16</f>
        <v>1</v>
      </c>
      <c r="G16" s="678"/>
      <c r="H16" s="80">
        <f t="shared" si="2"/>
        <v>449.41</v>
      </c>
      <c r="I16" s="101">
        <f t="shared" si="3"/>
        <v>2493544.19</v>
      </c>
      <c r="N16" s="616" t="s">
        <v>22</v>
      </c>
      <c r="O16" s="616"/>
      <c r="P16" s="657">
        <f t="shared" si="0"/>
        <v>0</v>
      </c>
      <c r="Q16" s="657"/>
      <c r="R16" s="662">
        <v>1</v>
      </c>
      <c r="S16" s="662"/>
      <c r="T16" s="95">
        <f t="shared" si="4"/>
        <v>0</v>
      </c>
      <c r="U16" s="472">
        <f t="shared" si="5"/>
        <v>0</v>
      </c>
    </row>
    <row r="17" spans="1:21" x14ac:dyDescent="0.25">
      <c r="A17" s="593" t="s">
        <v>23</v>
      </c>
      <c r="B17" s="593"/>
      <c r="C17" s="143">
        <v>29.5</v>
      </c>
      <c r="D17" s="143">
        <v>28.02</v>
      </c>
      <c r="E17" s="116">
        <f t="shared" si="1"/>
        <v>57.519999999999996</v>
      </c>
      <c r="F17" s="678">
        <f>'1461'!F17:G17</f>
        <v>1</v>
      </c>
      <c r="G17" s="678"/>
      <c r="H17" s="80">
        <f t="shared" si="2"/>
        <v>57.52</v>
      </c>
      <c r="I17" s="101">
        <f t="shared" si="3"/>
        <v>319148.79999999999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12.71</v>
      </c>
      <c r="D26" s="143">
        <v>13.59</v>
      </c>
      <c r="E26" s="116">
        <f t="shared" si="1"/>
        <v>26.3</v>
      </c>
      <c r="F26" s="678">
        <f>'1461'!F26:G26</f>
        <v>1.1919999999999999</v>
      </c>
      <c r="G26" s="678"/>
      <c r="H26" s="80">
        <f t="shared" si="2"/>
        <v>31.349599999999999</v>
      </c>
      <c r="I26" s="101">
        <f t="shared" si="3"/>
        <v>173942.75</v>
      </c>
      <c r="N26" s="616" t="s">
        <v>85</v>
      </c>
      <c r="O26" s="616"/>
      <c r="P26" s="657">
        <f t="shared" si="0"/>
        <v>0</v>
      </c>
      <c r="Q26" s="657"/>
      <c r="R26" s="662">
        <v>1</v>
      </c>
      <c r="S26" s="662"/>
      <c r="T26" s="95">
        <f t="shared" si="4"/>
        <v>0</v>
      </c>
      <c r="U26" s="472">
        <f t="shared" si="5"/>
        <v>0</v>
      </c>
    </row>
    <row r="27" spans="1:21" x14ac:dyDescent="0.25">
      <c r="A27" s="593" t="s">
        <v>86</v>
      </c>
      <c r="B27" s="593"/>
      <c r="C27" s="143">
        <v>9.01</v>
      </c>
      <c r="D27" s="143">
        <v>7.65</v>
      </c>
      <c r="E27" s="116">
        <f t="shared" si="1"/>
        <v>16.66</v>
      </c>
      <c r="F27" s="678">
        <f>'1461'!F27:G27</f>
        <v>1.1919999999999999</v>
      </c>
      <c r="G27" s="678"/>
      <c r="H27" s="80">
        <f t="shared" si="2"/>
        <v>19.858699999999999</v>
      </c>
      <c r="I27" s="101">
        <f t="shared" si="3"/>
        <v>110185.68</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478.81</v>
      </c>
      <c r="D30" s="94">
        <f>SUM(D14:D29)</f>
        <v>476.55999999999995</v>
      </c>
      <c r="E30" s="94">
        <f>SUM(E14:E29)</f>
        <v>955.36999999999989</v>
      </c>
      <c r="F30" s="597"/>
      <c r="G30" s="597"/>
      <c r="H30" s="99">
        <f>SUM(H14:H29)</f>
        <v>1011.4648999999999</v>
      </c>
      <c r="I30" s="94">
        <f>SUM(I14:I29)</f>
        <v>5612096.7999999998</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1011.4648999999999</v>
      </c>
      <c r="F46" s="34"/>
      <c r="G46" s="106"/>
      <c r="H46" s="107" t="s">
        <v>98</v>
      </c>
      <c r="I46" s="94">
        <f>SUM(I44,I30)</f>
        <v>5612096.7999999998</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5612096.7999999998</v>
      </c>
      <c r="G51" s="109" t="s">
        <v>6</v>
      </c>
      <c r="H51" s="400">
        <v>5.5899999999999998E-2</v>
      </c>
      <c r="I51" s="101">
        <f>ROUND(F51*H51,2)</f>
        <v>313716.21000000002</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5612096.7999999998</v>
      </c>
      <c r="G52" s="109" t="s">
        <v>6</v>
      </c>
      <c r="H52" s="400">
        <v>1.0699999999999999E-2</v>
      </c>
      <c r="I52" s="101">
        <f>ROUND(F52*H52,2)</f>
        <v>60049.440000000002</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373765.65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7.5</v>
      </c>
      <c r="D57" s="143">
        <v>6.93</v>
      </c>
      <c r="E57" s="116">
        <f t="shared" ref="E57:E65" si="10">IF(D$66=0,C57*2,C57+D57)</f>
        <v>14.43</v>
      </c>
      <c r="F57" s="442" t="s">
        <v>437</v>
      </c>
      <c r="G57" s="442">
        <v>251</v>
      </c>
      <c r="H57" s="456">
        <f>'1461'!H57</f>
        <v>1047</v>
      </c>
      <c r="I57" s="101">
        <f>ROUND(E57*H57,2)</f>
        <v>15108.21</v>
      </c>
      <c r="N57" s="633" t="s">
        <v>445</v>
      </c>
      <c r="O57" s="633"/>
      <c r="P57" s="636"/>
      <c r="Q57" s="636"/>
      <c r="R57" s="448" t="s">
        <v>437</v>
      </c>
      <c r="S57" s="448">
        <v>251</v>
      </c>
      <c r="T57" s="459">
        <f>H57</f>
        <v>1047</v>
      </c>
      <c r="U57" s="473">
        <f>ROUND(P57*T57,2)</f>
        <v>0</v>
      </c>
      <c r="V57" s="423"/>
    </row>
    <row r="58" spans="1:22" x14ac:dyDescent="0.25">
      <c r="A58" s="604"/>
      <c r="B58" s="604"/>
      <c r="C58" s="143">
        <v>4.5</v>
      </c>
      <c r="D58" s="143">
        <v>6.01</v>
      </c>
      <c r="E58" s="116">
        <f t="shared" si="10"/>
        <v>10.51</v>
      </c>
      <c r="F58" s="442" t="s">
        <v>437</v>
      </c>
      <c r="G58" s="442">
        <v>252</v>
      </c>
      <c r="H58" s="456">
        <f>'1461'!H58</f>
        <v>3380</v>
      </c>
      <c r="I58" s="101">
        <f t="shared" ref="I58:I65" si="11">ROUND(E58*H58,2)</f>
        <v>35523.800000000003</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22</v>
      </c>
      <c r="D60" s="143">
        <v>20.51</v>
      </c>
      <c r="E60" s="116">
        <f t="shared" si="10"/>
        <v>42.510000000000005</v>
      </c>
      <c r="F60" s="443" t="s">
        <v>13</v>
      </c>
      <c r="G60" s="442">
        <v>251</v>
      </c>
      <c r="H60" s="456">
        <f>'1461'!H60</f>
        <v>1173</v>
      </c>
      <c r="I60" s="101">
        <f t="shared" si="11"/>
        <v>49864.23</v>
      </c>
      <c r="N60" s="634"/>
      <c r="O60" s="634"/>
      <c r="P60" s="637"/>
      <c r="Q60" s="637"/>
      <c r="R60" s="40" t="s">
        <v>13</v>
      </c>
      <c r="S60" s="448">
        <v>251</v>
      </c>
      <c r="T60" s="459">
        <f t="shared" si="12"/>
        <v>1173</v>
      </c>
      <c r="U60" s="473">
        <f t="shared" si="13"/>
        <v>0</v>
      </c>
      <c r="V60" s="423"/>
    </row>
    <row r="61" spans="1:22" x14ac:dyDescent="0.25">
      <c r="A61" s="604"/>
      <c r="B61" s="604"/>
      <c r="C61" s="143">
        <v>7.5</v>
      </c>
      <c r="D61" s="143">
        <v>7.51</v>
      </c>
      <c r="E61" s="116">
        <f t="shared" si="10"/>
        <v>15.01</v>
      </c>
      <c r="F61" s="443" t="s">
        <v>13</v>
      </c>
      <c r="G61" s="442">
        <v>252</v>
      </c>
      <c r="H61" s="456">
        <f>'1461'!H61</f>
        <v>3506</v>
      </c>
      <c r="I61" s="101">
        <f t="shared" si="11"/>
        <v>52625.06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41.5</v>
      </c>
      <c r="D66" s="97">
        <f>SUM(D57:D65)</f>
        <v>40.96</v>
      </c>
      <c r="E66" s="97">
        <f>SUM(E57:E65)</f>
        <v>82.460000000000008</v>
      </c>
      <c r="F66" s="605" t="s">
        <v>446</v>
      </c>
      <c r="G66" s="605"/>
      <c r="H66" s="605"/>
      <c r="I66" s="97">
        <f>SUM(I57:I65)</f>
        <v>153121.29999999999</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955.36999999999989</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4.5440000000000003E-3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1011.4648999999999</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4.3059999999999999E-3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955.36999999999989</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5.091E-3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955.36999999999989</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4.5519999999999996E-3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955.36999999999989</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5.1000000000000004E-3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4.5519999999999996E-3</v>
      </c>
      <c r="I85" s="101">
        <f>ROUND(F85*H85,2)</f>
        <v>210137.18</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4.5440000000000003E-3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5.1000000000000004E-3</v>
      </c>
      <c r="I90" s="101">
        <f>ROUND(F90*H90,2)</f>
        <v>97114.33</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5.091E-3</v>
      </c>
      <c r="I92" s="101">
        <f t="shared" ref="I92:I96" si="14">ROUND(F92*H92,2)</f>
        <v>58246.9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4.3059999999999999E-3</v>
      </c>
      <c r="I94" s="101">
        <f t="shared" si="14"/>
        <v>1101288.8500000001</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4.3059999999999999E-3</v>
      </c>
      <c r="I96" s="101">
        <f t="shared" si="14"/>
        <v>-6827.42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4.5440000000000003E-3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484.67619999999999</v>
      </c>
      <c r="D104" s="611"/>
      <c r="E104" s="46">
        <f>H8</f>
        <v>1.0407999999999999</v>
      </c>
      <c r="F104" s="302">
        <f>'1461'!F104</f>
        <v>950.92</v>
      </c>
      <c r="G104" s="39" t="s">
        <v>12</v>
      </c>
      <c r="H104" s="101">
        <f>ROUND(C104*E104*F104,2)</f>
        <v>479692.53</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526.78870000000006</v>
      </c>
      <c r="D105" s="611"/>
      <c r="E105" s="46">
        <f>H8</f>
        <v>1.0407999999999999</v>
      </c>
      <c r="F105" s="302">
        <f>'1461'!F105</f>
        <v>907.92</v>
      </c>
      <c r="G105" s="39" t="s">
        <v>12</v>
      </c>
      <c r="H105" s="101">
        <f>ROUND(C105*E105*F105,2)</f>
        <v>497795.9</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1011.4649000000001</v>
      </c>
      <c r="D107" s="601"/>
      <c r="E107" s="123"/>
      <c r="F107" s="123"/>
      <c r="G107" s="123"/>
      <c r="H107" s="124" t="s">
        <v>100</v>
      </c>
      <c r="I107" s="101">
        <f>IF(A1=75,0,H106+H105+H104)</f>
        <v>977488.43</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160</v>
      </c>
      <c r="D113" s="143">
        <v>172</v>
      </c>
      <c r="E113" s="116">
        <f>(C113+D113)/2</f>
        <v>166</v>
      </c>
      <c r="F113" s="126" t="s">
        <v>30</v>
      </c>
      <c r="G113" s="303">
        <f>'1461'!G113</f>
        <v>567</v>
      </c>
      <c r="I113" s="101">
        <f>ROUND(G113*E113,2)</f>
        <v>94122</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8296788.3699999992</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7923022.7199999988</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7923022.7199999988</v>
      </c>
      <c r="I135" s="94">
        <f>ROUND(IF(E30=0,0,IF(E30&gt;250,-(((250/E30)*H135)*IF(G135="H",0.02,0.05)),IF(G135="H",-0.02*H135,-0.05*H135))),2)</f>
        <v>-103664.32000000001</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8193124.0499999989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242</v>
      </c>
      <c r="B139" s="69"/>
      <c r="C139" s="140"/>
      <c r="D139" s="69"/>
      <c r="F139" s="69"/>
      <c r="G139" s="69"/>
      <c r="H139" s="65"/>
      <c r="I139" s="271">
        <f>-'Cumulative Payments'!Q105</f>
        <v>-1373723.07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6819400.9799999986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681940.1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292486.82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R103:U103"/>
    <mergeCell ref="C104:D104"/>
    <mergeCell ref="P104:Q104"/>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244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42.76</v>
      </c>
      <c r="D14" s="141">
        <v>40.729999999999997</v>
      </c>
      <c r="E14" s="187">
        <f>IF(D$30=0,C14*2,C14+D14)</f>
        <v>83.49</v>
      </c>
      <c r="F14" s="682">
        <f>'1461'!F14:G14</f>
        <v>1.1180000000000001</v>
      </c>
      <c r="G14" s="682"/>
      <c r="H14" s="145">
        <f>ROUND(E14*F14,4)</f>
        <v>93.341800000000006</v>
      </c>
      <c r="I14" s="111">
        <f>ROUND(ROUND(ROUND(H14*$C$8,4)*($H$8),2)*(MAX($H$9,1)),2)</f>
        <v>517905.48</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3.5</v>
      </c>
      <c r="D15" s="143">
        <v>3.5</v>
      </c>
      <c r="E15" s="116">
        <f t="shared" ref="E15:E29" si="1">IF(D$30=0,C15*2,C15+D15)</f>
        <v>7</v>
      </c>
      <c r="F15" s="678">
        <f>'1461'!F15:G15</f>
        <v>1.1180000000000001</v>
      </c>
      <c r="G15" s="678"/>
      <c r="H15" s="80">
        <f t="shared" ref="H15:H29" si="2">ROUND(E15*F15,4)</f>
        <v>7.8259999999999996</v>
      </c>
      <c r="I15" s="101">
        <f t="shared" ref="I15:I29" si="3">ROUND(ROUND(ROUND(H15*$C$8,4)*($H$8),2)*(MAX($H$9,1)),2)</f>
        <v>43422.44</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68.22</v>
      </c>
      <c r="D16" s="143">
        <v>74.16</v>
      </c>
      <c r="E16" s="116">
        <f t="shared" si="1"/>
        <v>142.38</v>
      </c>
      <c r="F16" s="678">
        <f>'1461'!F16:G16</f>
        <v>1</v>
      </c>
      <c r="G16" s="678"/>
      <c r="H16" s="80">
        <f t="shared" si="2"/>
        <v>142.38</v>
      </c>
      <c r="I16" s="101">
        <f t="shared" si="3"/>
        <v>789993.15</v>
      </c>
      <c r="N16" s="616" t="s">
        <v>22</v>
      </c>
      <c r="O16" s="616"/>
      <c r="P16" s="657">
        <f t="shared" si="0"/>
        <v>0</v>
      </c>
      <c r="Q16" s="657"/>
      <c r="R16" s="662">
        <v>1</v>
      </c>
      <c r="S16" s="662"/>
      <c r="T16" s="95">
        <f t="shared" si="4"/>
        <v>0</v>
      </c>
      <c r="U16" s="472">
        <f t="shared" si="5"/>
        <v>0</v>
      </c>
    </row>
    <row r="17" spans="1:21" x14ac:dyDescent="0.25">
      <c r="A17" s="593" t="s">
        <v>23</v>
      </c>
      <c r="B17" s="593"/>
      <c r="C17" s="143">
        <v>13</v>
      </c>
      <c r="D17" s="143">
        <v>11.5</v>
      </c>
      <c r="E17" s="116">
        <f t="shared" si="1"/>
        <v>24.5</v>
      </c>
      <c r="F17" s="678">
        <f>'1461'!F17:G17</f>
        <v>1</v>
      </c>
      <c r="G17" s="678"/>
      <c r="H17" s="80">
        <f t="shared" si="2"/>
        <v>24.5</v>
      </c>
      <c r="I17" s="101">
        <f t="shared" si="3"/>
        <v>135937.85999999999</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7.24</v>
      </c>
      <c r="D26" s="143">
        <v>6.81</v>
      </c>
      <c r="E26" s="116">
        <f t="shared" si="1"/>
        <v>14.05</v>
      </c>
      <c r="F26" s="678">
        <f>'1461'!F26:G26</f>
        <v>1.1919999999999999</v>
      </c>
      <c r="G26" s="678"/>
      <c r="H26" s="80">
        <f t="shared" si="2"/>
        <v>16.747599999999998</v>
      </c>
      <c r="I26" s="101">
        <f t="shared" si="3"/>
        <v>92923.79</v>
      </c>
      <c r="N26" s="616" t="s">
        <v>85</v>
      </c>
      <c r="O26" s="616"/>
      <c r="P26" s="657">
        <f t="shared" si="0"/>
        <v>0</v>
      </c>
      <c r="Q26" s="657"/>
      <c r="R26" s="662">
        <v>1</v>
      </c>
      <c r="S26" s="662"/>
      <c r="T26" s="95">
        <f t="shared" si="4"/>
        <v>0</v>
      </c>
      <c r="U26" s="472">
        <f t="shared" si="5"/>
        <v>0</v>
      </c>
    </row>
    <row r="27" spans="1:21" x14ac:dyDescent="0.25">
      <c r="A27" s="593" t="s">
        <v>86</v>
      </c>
      <c r="B27" s="593"/>
      <c r="C27" s="143">
        <v>3.29</v>
      </c>
      <c r="D27" s="143">
        <v>3.29</v>
      </c>
      <c r="E27" s="116">
        <f t="shared" si="1"/>
        <v>6.58</v>
      </c>
      <c r="F27" s="678">
        <f>'1461'!F27:G27</f>
        <v>1.1919999999999999</v>
      </c>
      <c r="G27" s="678"/>
      <c r="H27" s="80">
        <f t="shared" si="2"/>
        <v>7.8433999999999999</v>
      </c>
      <c r="I27" s="101">
        <f t="shared" si="3"/>
        <v>43518.98</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138.01</v>
      </c>
      <c r="D30" s="94">
        <f>SUM(D14:D29)</f>
        <v>139.98999999999998</v>
      </c>
      <c r="E30" s="94">
        <f>SUM(E14:E29)</f>
        <v>278</v>
      </c>
      <c r="F30" s="597"/>
      <c r="G30" s="597"/>
      <c r="H30" s="99">
        <f>SUM(H14:H29)</f>
        <v>292.63879999999995</v>
      </c>
      <c r="I30" s="94">
        <f>SUM(I14:I29)</f>
        <v>1623701.6999999997</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292.63879999999995</v>
      </c>
      <c r="F46" s="34"/>
      <c r="G46" s="106"/>
      <c r="H46" s="107" t="s">
        <v>98</v>
      </c>
      <c r="I46" s="94">
        <f>SUM(I44,I30)</f>
        <v>1623701.6999999997</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1623701.6999999997</v>
      </c>
      <c r="G51" s="109" t="s">
        <v>6</v>
      </c>
      <c r="H51" s="400">
        <v>5.5899999999999998E-2</v>
      </c>
      <c r="I51" s="101">
        <f>ROUND(F51*H51,2)</f>
        <v>90764.93</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1623701.6999999997</v>
      </c>
      <c r="G52" s="109" t="s">
        <v>6</v>
      </c>
      <c r="H52" s="400">
        <v>1.0699999999999999E-2</v>
      </c>
      <c r="I52" s="101">
        <f>ROUND(F52*H52,2)</f>
        <v>17373.61</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108138.54</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1.5</v>
      </c>
      <c r="D57" s="143">
        <v>1.48</v>
      </c>
      <c r="E57" s="116">
        <f t="shared" ref="E57:E65" si="10">IF(D$66=0,C57*2,C57+D57)</f>
        <v>2.98</v>
      </c>
      <c r="F57" s="442" t="s">
        <v>437</v>
      </c>
      <c r="G57" s="442">
        <v>251</v>
      </c>
      <c r="H57" s="456">
        <f>'1461'!H57</f>
        <v>1047</v>
      </c>
      <c r="I57" s="101">
        <f>ROUND(E57*H57,2)</f>
        <v>3120.06</v>
      </c>
      <c r="N57" s="633" t="s">
        <v>445</v>
      </c>
      <c r="O57" s="633"/>
      <c r="P57" s="636"/>
      <c r="Q57" s="636"/>
      <c r="R57" s="448" t="s">
        <v>437</v>
      </c>
      <c r="S57" s="448">
        <v>251</v>
      </c>
      <c r="T57" s="459">
        <f>H57</f>
        <v>1047</v>
      </c>
      <c r="U57" s="473">
        <f>ROUND(P57*T57,2)</f>
        <v>0</v>
      </c>
      <c r="V57" s="423"/>
    </row>
    <row r="58" spans="1:22" x14ac:dyDescent="0.25">
      <c r="A58" s="604"/>
      <c r="B58" s="604"/>
      <c r="C58" s="143">
        <v>2</v>
      </c>
      <c r="D58" s="143">
        <v>2.02</v>
      </c>
      <c r="E58" s="116">
        <f t="shared" si="10"/>
        <v>4.0199999999999996</v>
      </c>
      <c r="F58" s="442" t="s">
        <v>437</v>
      </c>
      <c r="G58" s="442">
        <v>252</v>
      </c>
      <c r="H58" s="456">
        <f>'1461'!H58</f>
        <v>3380</v>
      </c>
      <c r="I58" s="101">
        <f t="shared" ref="I58:I65" si="11">ROUND(E58*H58,2)</f>
        <v>13587.6</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12.5</v>
      </c>
      <c r="D60" s="143">
        <v>10.59</v>
      </c>
      <c r="E60" s="116">
        <f t="shared" si="10"/>
        <v>23.09</v>
      </c>
      <c r="F60" s="443" t="s">
        <v>13</v>
      </c>
      <c r="G60" s="442">
        <v>251</v>
      </c>
      <c r="H60" s="456">
        <f>'1461'!H60</f>
        <v>1173</v>
      </c>
      <c r="I60" s="101">
        <f t="shared" si="11"/>
        <v>27084.57</v>
      </c>
      <c r="N60" s="634"/>
      <c r="O60" s="634"/>
      <c r="P60" s="637"/>
      <c r="Q60" s="637"/>
      <c r="R60" s="40" t="s">
        <v>13</v>
      </c>
      <c r="S60" s="448">
        <v>251</v>
      </c>
      <c r="T60" s="459">
        <f t="shared" si="12"/>
        <v>1173</v>
      </c>
      <c r="U60" s="473">
        <f t="shared" si="13"/>
        <v>0</v>
      </c>
      <c r="V60" s="423"/>
    </row>
    <row r="61" spans="1:22" x14ac:dyDescent="0.25">
      <c r="A61" s="604"/>
      <c r="B61" s="604"/>
      <c r="C61" s="143">
        <v>0.5</v>
      </c>
      <c r="D61" s="143">
        <v>0.91</v>
      </c>
      <c r="E61" s="116">
        <f t="shared" si="10"/>
        <v>1.4100000000000001</v>
      </c>
      <c r="F61" s="443" t="s">
        <v>13</v>
      </c>
      <c r="G61" s="442">
        <v>252</v>
      </c>
      <c r="H61" s="456">
        <f>'1461'!H61</f>
        <v>3506</v>
      </c>
      <c r="I61" s="101">
        <f t="shared" si="11"/>
        <v>4943.46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16.5</v>
      </c>
      <c r="D66" s="97">
        <f>SUM(D57:D65)</f>
        <v>15</v>
      </c>
      <c r="E66" s="97">
        <f>SUM(E57:E65)</f>
        <v>31.5</v>
      </c>
      <c r="F66" s="605" t="s">
        <v>446</v>
      </c>
      <c r="G66" s="605"/>
      <c r="H66" s="605"/>
      <c r="I66" s="97">
        <f>SUM(I57:I65)</f>
        <v>48735.689999999995</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278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1.322E-3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292.63879999999995</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1.2459999999999999E-3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278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1.4809999999999999E-3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278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1.3240000000000001E-3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278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1.4840000000000001E-3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1.3240000000000001E-3</v>
      </c>
      <c r="I85" s="101">
        <f>ROUND(F85*H85,2)</f>
        <v>61120.74</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1.322E-3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1.4840000000000001E-3</v>
      </c>
      <c r="I90" s="101">
        <f>ROUND(F90*H90,2)</f>
        <v>28258.37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1.4809999999999999E-3</v>
      </c>
      <c r="I92" s="101">
        <f t="shared" ref="I92:I96" si="14">ROUND(F92*H92,2)</f>
        <v>16944.34</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1.2459999999999999E-3</v>
      </c>
      <c r="I94" s="101">
        <f t="shared" si="14"/>
        <v>318672.99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1.2459999999999999E-3</v>
      </c>
      <c r="I96" s="101">
        <f t="shared" si="14"/>
        <v>-1975.61</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v>-1</v>
      </c>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1.322E-3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117.91540000000001</v>
      </c>
      <c r="D104" s="611"/>
      <c r="E104" s="46">
        <f>H8</f>
        <v>1.0407999999999999</v>
      </c>
      <c r="F104" s="302">
        <f>'1461'!F104</f>
        <v>950.92</v>
      </c>
      <c r="G104" s="39" t="s">
        <v>12</v>
      </c>
      <c r="H104" s="101">
        <f>ROUND(C104*E104*F104,2)</f>
        <v>116702.94</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174.7234</v>
      </c>
      <c r="D105" s="611"/>
      <c r="E105" s="46">
        <f>H8</f>
        <v>1.0407999999999999</v>
      </c>
      <c r="F105" s="302">
        <f>'1461'!F105</f>
        <v>907.92</v>
      </c>
      <c r="G105" s="39" t="s">
        <v>12</v>
      </c>
      <c r="H105" s="101">
        <f>ROUND(C105*E105*F105,2)</f>
        <v>165107.17000000001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292.6388</v>
      </c>
      <c r="D107" s="601"/>
      <c r="E107" s="123"/>
      <c r="F107" s="123"/>
      <c r="G107" s="123"/>
      <c r="H107" s="124" t="s">
        <v>100</v>
      </c>
      <c r="I107" s="101">
        <f>IF(A1=75,0,H106+H105+H104)</f>
        <v>281810.11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60</v>
      </c>
      <c r="D113" s="143">
        <v>57</v>
      </c>
      <c r="E113" s="144">
        <f>(C113+D113)/2</f>
        <v>58.5</v>
      </c>
      <c r="F113" s="126" t="s">
        <v>30</v>
      </c>
      <c r="G113" s="303">
        <f>'1461'!G113</f>
        <v>567</v>
      </c>
      <c r="I113" s="101">
        <f>ROUND(G113*E113,2)</f>
        <v>33169.5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2410437.83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2302299.29</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2302299.29</v>
      </c>
      <c r="I135" s="94">
        <f>ROUND(IF(E30=0,0,IF(E30&gt;250,-(((250/E30)*H135)*IF(G135="H",0.02,0.05)),IF(G135="H",-0.02*H135,-0.05*H135))),2)</f>
        <v>-103520.65</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2306917.1800000002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-383812.93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1923104.2500000002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192310.43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11594.31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236</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43.7</v>
      </c>
      <c r="D18" s="143">
        <v>53.01</v>
      </c>
      <c r="E18" s="116">
        <f t="shared" si="1"/>
        <v>96.710000000000008</v>
      </c>
      <c r="F18" s="678">
        <f>'1461'!F18:G18</f>
        <v>0.97799999999999998</v>
      </c>
      <c r="G18" s="678"/>
      <c r="H18" s="80">
        <f t="shared" si="2"/>
        <v>94.582400000000007</v>
      </c>
      <c r="I18" s="101">
        <f t="shared" si="3"/>
        <v>524788.93000000005</v>
      </c>
      <c r="N18" s="616" t="s">
        <v>24</v>
      </c>
      <c r="O18" s="616"/>
      <c r="P18" s="657">
        <f t="shared" si="0"/>
        <v>0</v>
      </c>
      <c r="Q18" s="657"/>
      <c r="R18" s="662">
        <v>1</v>
      </c>
      <c r="S18" s="662"/>
      <c r="T18" s="95">
        <f t="shared" si="4"/>
        <v>0</v>
      </c>
      <c r="U18" s="472">
        <f t="shared" si="5"/>
        <v>0</v>
      </c>
    </row>
    <row r="19" spans="1:21" x14ac:dyDescent="0.25">
      <c r="A19" s="593" t="s">
        <v>25</v>
      </c>
      <c r="B19" s="593"/>
      <c r="C19" s="143">
        <v>11</v>
      </c>
      <c r="D19" s="143">
        <v>9</v>
      </c>
      <c r="E19" s="116">
        <f t="shared" si="1"/>
        <v>20</v>
      </c>
      <c r="F19" s="678">
        <f>'1461'!F19:G19</f>
        <v>0.97799999999999998</v>
      </c>
      <c r="G19" s="678"/>
      <c r="H19" s="80">
        <f t="shared" si="2"/>
        <v>19.559999999999999</v>
      </c>
      <c r="I19" s="101">
        <f t="shared" si="3"/>
        <v>108528.35</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0.5</v>
      </c>
      <c r="D25" s="143">
        <v>0.5</v>
      </c>
      <c r="E25" s="116">
        <f t="shared" si="1"/>
        <v>1</v>
      </c>
      <c r="F25" s="678">
        <f>'1461'!F25:G25</f>
        <v>5.992</v>
      </c>
      <c r="G25" s="678"/>
      <c r="H25" s="80">
        <f t="shared" si="2"/>
        <v>5.992</v>
      </c>
      <c r="I25" s="101">
        <f t="shared" si="3"/>
        <v>33246.519999999997</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1.04</v>
      </c>
      <c r="D28" s="143">
        <v>1.77</v>
      </c>
      <c r="E28" s="116">
        <f t="shared" si="1"/>
        <v>2.81</v>
      </c>
      <c r="F28" s="678">
        <f>'1461'!F28:G28</f>
        <v>1.1919999999999999</v>
      </c>
      <c r="G28" s="678"/>
      <c r="H28" s="80">
        <f t="shared" si="2"/>
        <v>3.3494999999999999</v>
      </c>
      <c r="I28" s="101">
        <f t="shared" si="3"/>
        <v>18584.650000000001</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56.24</v>
      </c>
      <c r="D30" s="94">
        <f>SUM(D14:D29)</f>
        <v>64.28</v>
      </c>
      <c r="E30" s="94">
        <f>SUM(E14:E29)</f>
        <v>120.52000000000001</v>
      </c>
      <c r="F30" s="597"/>
      <c r="G30" s="597"/>
      <c r="H30" s="99">
        <f>SUM(H14:H29)</f>
        <v>123.48390000000002</v>
      </c>
      <c r="I30" s="94">
        <f>SUM(I14:I29)</f>
        <v>685148.45000000007</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123.48390000000002</v>
      </c>
      <c r="F46" s="34"/>
      <c r="G46" s="106"/>
      <c r="H46" s="107" t="s">
        <v>98</v>
      </c>
      <c r="I46" s="94">
        <f>SUM(I44,I30)</f>
        <v>685148.45000000007</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685148.45000000007</v>
      </c>
      <c r="G51" s="109" t="s">
        <v>6</v>
      </c>
      <c r="H51" s="400">
        <v>5.5899999999999998E-2</v>
      </c>
      <c r="I51" s="101">
        <f>ROUND(F51*H51,2)</f>
        <v>38299.800000000003</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685148.45000000007</v>
      </c>
      <c r="G52" s="109" t="s">
        <v>6</v>
      </c>
      <c r="H52" s="400">
        <v>1.0699999999999999E-2</v>
      </c>
      <c r="I52" s="101">
        <f>ROUND(F52*H52,2)</f>
        <v>7331.09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45630.89</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10.5</v>
      </c>
      <c r="D63" s="143">
        <v>9</v>
      </c>
      <c r="E63" s="116">
        <f t="shared" si="10"/>
        <v>19.5</v>
      </c>
      <c r="F63" s="443" t="s">
        <v>14</v>
      </c>
      <c r="G63" s="442">
        <v>251</v>
      </c>
      <c r="H63" s="456">
        <f>'1461'!H63</f>
        <v>835</v>
      </c>
      <c r="I63" s="101">
        <f t="shared" si="11"/>
        <v>16282.5</v>
      </c>
      <c r="N63" s="634"/>
      <c r="O63" s="634"/>
      <c r="P63" s="637"/>
      <c r="Q63" s="637"/>
      <c r="R63" s="40" t="s">
        <v>14</v>
      </c>
      <c r="S63" s="448">
        <v>251</v>
      </c>
      <c r="T63" s="459">
        <f t="shared" si="12"/>
        <v>835</v>
      </c>
      <c r="U63" s="473">
        <f t="shared" si="13"/>
        <v>0</v>
      </c>
      <c r="V63" s="423"/>
    </row>
    <row r="64" spans="1:22" x14ac:dyDescent="0.25">
      <c r="A64" s="604"/>
      <c r="B64" s="604"/>
      <c r="C64" s="143">
        <v>0.5</v>
      </c>
      <c r="D64" s="143">
        <v>0</v>
      </c>
      <c r="E64" s="116">
        <f t="shared" si="10"/>
        <v>0.5</v>
      </c>
      <c r="F64" s="443" t="s">
        <v>14</v>
      </c>
      <c r="G64" s="442">
        <v>252</v>
      </c>
      <c r="H64" s="456">
        <f>'1461'!H64</f>
        <v>3168</v>
      </c>
      <c r="I64" s="101">
        <f t="shared" si="11"/>
        <v>1584</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11</v>
      </c>
      <c r="D66" s="97">
        <f>SUM(D57:D65)</f>
        <v>9</v>
      </c>
      <c r="E66" s="97">
        <f>SUM(E57:E65)</f>
        <v>20</v>
      </c>
      <c r="F66" s="605" t="s">
        <v>446</v>
      </c>
      <c r="G66" s="605"/>
      <c r="H66" s="605"/>
      <c r="I66" s="97">
        <f>SUM(I57:I65)</f>
        <v>17866.5</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120.52000000000001</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5.7300000000000005E-4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123.48390000000002</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5.2599999999999999E-4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120.52000000000001</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6.4199999999999999E-4</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120.52000000000001</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5.7399999999999997E-4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120.52000000000001</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6.4300000000000002E-4</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5.7399999999999997E-4</v>
      </c>
      <c r="I85" s="101">
        <f>ROUND(F85*H85,2)</f>
        <v>26497.97</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5.7300000000000005E-4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6.4300000000000002E-4</v>
      </c>
      <c r="I90" s="101">
        <f>ROUND(F90*H90,2)</f>
        <v>12244.02</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6.4199999999999999E-4</v>
      </c>
      <c r="I92" s="101">
        <f t="shared" ref="I92:I96" si="14">ROUND(F92*H92,2)</f>
        <v>7345.22</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5.2599999999999999E-4</v>
      </c>
      <c r="I94" s="101">
        <f t="shared" si="14"/>
        <v>134528.09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5.2599999999999999E-4</v>
      </c>
      <c r="I96" s="101">
        <f t="shared" si="14"/>
        <v>-834</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5.7300000000000005E-4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123.48390000000002</v>
      </c>
      <c r="D106" s="611"/>
      <c r="E106" s="46">
        <f>H8</f>
        <v>1.0407999999999999</v>
      </c>
      <c r="F106" s="302">
        <f>'1461'!F106</f>
        <v>910.12</v>
      </c>
      <c r="G106" s="39" t="s">
        <v>12</v>
      </c>
      <c r="H106" s="94">
        <f>ROUND(C106*E106*F106,2)</f>
        <v>116970.48</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123.48390000000002</v>
      </c>
      <c r="D107" s="601"/>
      <c r="E107" s="123"/>
      <c r="F107" s="123"/>
      <c r="G107" s="123"/>
      <c r="H107" s="124" t="s">
        <v>100</v>
      </c>
      <c r="I107" s="101">
        <f>IF(A1=75,0,H106+H105+H104)</f>
        <v>116970.48</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40</v>
      </c>
      <c r="D113" s="143">
        <v>36</v>
      </c>
      <c r="E113" s="144">
        <f>(C113+D113)/2</f>
        <v>38</v>
      </c>
      <c r="F113" s="126" t="s">
        <v>30</v>
      </c>
      <c r="G113" s="303">
        <f>'1461'!G113</f>
        <v>567</v>
      </c>
      <c r="I113" s="101">
        <f>ROUND(G113*E113,2)</f>
        <v>21546</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1021312.73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975681.84</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975681.84</v>
      </c>
      <c r="I135" s="94">
        <f>ROUND(IF(E30=0,0,IF(E30&gt;250,-(((250/E30)*H135)*IF(G135="H",0.02,0.05)),IF(G135="H",-0.02*H135,-0.05*H135))),2)</f>
        <v>-48784.09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972528.64000000001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-161809.62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810719.02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81071.899999999994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N73:S73"/>
    <mergeCell ref="T73:U73"/>
    <mergeCell ref="N76:S76"/>
    <mergeCell ref="T76:U76"/>
    <mergeCell ref="A78:B78"/>
    <mergeCell ref="D78:G78"/>
    <mergeCell ref="N78:O78"/>
    <mergeCell ref="Q78:S78"/>
    <mergeCell ref="T78:U78"/>
    <mergeCell ref="N79:S79"/>
    <mergeCell ref="T79:U79"/>
    <mergeCell ref="A81:B81"/>
    <mergeCell ref="D81:G81"/>
    <mergeCell ref="N81:O81"/>
    <mergeCell ref="Q81:S81"/>
    <mergeCell ref="T81:U81"/>
    <mergeCell ref="N82:S82"/>
    <mergeCell ref="A87:C87"/>
    <mergeCell ref="N87:P87"/>
    <mergeCell ref="T82:U8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3:B13"/>
    <mergeCell ref="A15:B15"/>
    <mergeCell ref="F15:G15"/>
    <mergeCell ref="N15:O15"/>
    <mergeCell ref="P15:Q15"/>
    <mergeCell ref="R15:S15"/>
    <mergeCell ref="B1:I1"/>
    <mergeCell ref="O1:U1"/>
    <mergeCell ref="N2:U2"/>
    <mergeCell ref="N3:U3"/>
    <mergeCell ref="A4:B4"/>
    <mergeCell ref="C4:E4"/>
    <mergeCell ref="N4:O4"/>
    <mergeCell ref="P4:Q4"/>
    <mergeCell ref="A7:I7"/>
    <mergeCell ref="N7:U7"/>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273</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129.83000000000001</v>
      </c>
      <c r="D16" s="143">
        <v>133.41</v>
      </c>
      <c r="E16" s="116">
        <f t="shared" si="1"/>
        <v>263.24</v>
      </c>
      <c r="F16" s="678">
        <f>'1461'!F16:G16</f>
        <v>1</v>
      </c>
      <c r="G16" s="678"/>
      <c r="H16" s="80">
        <f t="shared" si="2"/>
        <v>263.24</v>
      </c>
      <c r="I16" s="101">
        <f t="shared" si="3"/>
        <v>1460582.92</v>
      </c>
      <c r="N16" s="616" t="s">
        <v>22</v>
      </c>
      <c r="O16" s="616"/>
      <c r="P16" s="657">
        <f t="shared" si="0"/>
        <v>0</v>
      </c>
      <c r="Q16" s="657"/>
      <c r="R16" s="662">
        <v>1</v>
      </c>
      <c r="S16" s="662"/>
      <c r="T16" s="95">
        <f t="shared" si="4"/>
        <v>0</v>
      </c>
      <c r="U16" s="472">
        <f t="shared" si="5"/>
        <v>0</v>
      </c>
    </row>
    <row r="17" spans="1:21" x14ac:dyDescent="0.25">
      <c r="A17" s="593" t="s">
        <v>23</v>
      </c>
      <c r="B17" s="593"/>
      <c r="C17" s="143">
        <v>23</v>
      </c>
      <c r="D17" s="143">
        <v>22.84</v>
      </c>
      <c r="E17" s="116">
        <f t="shared" si="1"/>
        <v>45.84</v>
      </c>
      <c r="F17" s="678">
        <f>'1461'!F17:G17</f>
        <v>1</v>
      </c>
      <c r="G17" s="678"/>
      <c r="H17" s="80">
        <f t="shared" si="2"/>
        <v>45.84</v>
      </c>
      <c r="I17" s="101">
        <f t="shared" si="3"/>
        <v>254342.51</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14.17</v>
      </c>
      <c r="D27" s="143">
        <v>16.05</v>
      </c>
      <c r="E27" s="116">
        <f t="shared" si="1"/>
        <v>30.22</v>
      </c>
      <c r="F27" s="678">
        <f>'1461'!F27:G27</f>
        <v>1.1919999999999999</v>
      </c>
      <c r="G27" s="678"/>
      <c r="H27" s="80">
        <f t="shared" si="2"/>
        <v>36.022199999999998</v>
      </c>
      <c r="I27" s="101">
        <f t="shared" si="3"/>
        <v>199868.6</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167</v>
      </c>
      <c r="D30" s="94">
        <f>SUM(D14:D29)</f>
        <v>172.3</v>
      </c>
      <c r="E30" s="94">
        <f>SUM(E14:E29)</f>
        <v>339.30000000000007</v>
      </c>
      <c r="F30" s="597"/>
      <c r="G30" s="597"/>
      <c r="H30" s="99">
        <f>SUM(H14:H29)</f>
        <v>345.10220000000004</v>
      </c>
      <c r="I30" s="94">
        <f>SUM(I14:I29)</f>
        <v>1914794.03</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345.10220000000004</v>
      </c>
      <c r="F46" s="34"/>
      <c r="G46" s="106"/>
      <c r="H46" s="107" t="s">
        <v>98</v>
      </c>
      <c r="I46" s="94">
        <f>SUM(I44,I30)</f>
        <v>1914794.03</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1914794.03</v>
      </c>
      <c r="G51" s="109" t="s">
        <v>6</v>
      </c>
      <c r="H51" s="400">
        <v>5.5899999999999998E-2</v>
      </c>
      <c r="I51" s="101">
        <f>ROUND(F51*H51,2)</f>
        <v>107036.99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1914794.03</v>
      </c>
      <c r="G52" s="109" t="s">
        <v>6</v>
      </c>
      <c r="H52" s="400">
        <v>1.0699999999999999E-2</v>
      </c>
      <c r="I52" s="101">
        <f>ROUND(F52*H52,2)</f>
        <v>20488.3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127525.29000000001</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22</v>
      </c>
      <c r="D60" s="143">
        <v>22.34</v>
      </c>
      <c r="E60" s="116">
        <f t="shared" si="10"/>
        <v>44.34</v>
      </c>
      <c r="F60" s="443" t="s">
        <v>13</v>
      </c>
      <c r="G60" s="442">
        <v>251</v>
      </c>
      <c r="H60" s="456">
        <f>'1461'!H60</f>
        <v>1173</v>
      </c>
      <c r="I60" s="101">
        <f t="shared" si="11"/>
        <v>52010.82</v>
      </c>
      <c r="N60" s="634"/>
      <c r="O60" s="634"/>
      <c r="P60" s="637"/>
      <c r="Q60" s="637"/>
      <c r="R60" s="40" t="s">
        <v>13</v>
      </c>
      <c r="S60" s="448">
        <v>251</v>
      </c>
      <c r="T60" s="459">
        <f t="shared" si="12"/>
        <v>1173</v>
      </c>
      <c r="U60" s="473">
        <f t="shared" si="13"/>
        <v>0</v>
      </c>
      <c r="V60" s="423"/>
    </row>
    <row r="61" spans="1:22" x14ac:dyDescent="0.25">
      <c r="A61" s="604"/>
      <c r="B61" s="604"/>
      <c r="C61" s="143">
        <v>1</v>
      </c>
      <c r="D61" s="143">
        <v>0.5</v>
      </c>
      <c r="E61" s="116">
        <f t="shared" si="10"/>
        <v>1.5</v>
      </c>
      <c r="F61" s="443" t="s">
        <v>13</v>
      </c>
      <c r="G61" s="442">
        <v>252</v>
      </c>
      <c r="H61" s="456">
        <f>'1461'!H61</f>
        <v>3506</v>
      </c>
      <c r="I61" s="101">
        <f t="shared" si="11"/>
        <v>5259</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23</v>
      </c>
      <c r="D66" s="97">
        <f>SUM(D57:D65)</f>
        <v>22.84</v>
      </c>
      <c r="E66" s="97">
        <f>SUM(E57:E65)</f>
        <v>45.84</v>
      </c>
      <c r="F66" s="605" t="s">
        <v>446</v>
      </c>
      <c r="G66" s="605"/>
      <c r="H66" s="605"/>
      <c r="I66" s="97">
        <f>SUM(I57:I65)</f>
        <v>57269.82</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339.30000000000007</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1.614E-3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345.10220000000004</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1.469E-3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339.30000000000007</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1.8079999999999999E-3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339.30000000000007</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1.6169999999999999E-3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339.30000000000007</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1.8109999999999999E-3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1.6169999999999999E-3</v>
      </c>
      <c r="I85" s="101">
        <f>ROUND(F85*H85,2)</f>
        <v>74646.710000000006</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1.614E-3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1.8109999999999999E-3</v>
      </c>
      <c r="I90" s="101">
        <f>ROUND(F90*H90,2)</f>
        <v>34485.11</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1.8079999999999999E-3</v>
      </c>
      <c r="I92" s="101">
        <f t="shared" ref="I92:I96" si="14">ROUND(F92*H92,2)</f>
        <v>20685.599999999999</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1.469E-3</v>
      </c>
      <c r="I94" s="101">
        <f t="shared" si="14"/>
        <v>375706.76</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1.469E-3</v>
      </c>
      <c r="I96" s="101">
        <f t="shared" si="14"/>
        <v>-2329.19</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1.614E-3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345.10220000000004</v>
      </c>
      <c r="D105" s="611"/>
      <c r="E105" s="46">
        <f>H8</f>
        <v>1.0407999999999999</v>
      </c>
      <c r="F105" s="302">
        <f>'1461'!F105</f>
        <v>907.92</v>
      </c>
      <c r="G105" s="39" t="s">
        <v>12</v>
      </c>
      <c r="H105" s="101">
        <f>ROUND(C105*E105*F105,2)</f>
        <v>326108.86</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345.10220000000004</v>
      </c>
      <c r="D107" s="601"/>
      <c r="E107" s="123"/>
      <c r="F107" s="123"/>
      <c r="G107" s="123"/>
      <c r="H107" s="124" t="s">
        <v>100</v>
      </c>
      <c r="I107" s="101">
        <f>IF(A1=75,0,H106+H105+H104)</f>
        <v>326108.86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v>
      </c>
      <c r="D113" s="143">
        <v>0</v>
      </c>
      <c r="E113" s="144">
        <f>(C113+D113)/2</f>
        <v>0.5</v>
      </c>
      <c r="F113" s="126" t="s">
        <v>30</v>
      </c>
      <c r="G113" s="303">
        <f>'1461'!G113</f>
        <v>567</v>
      </c>
      <c r="I113" s="101">
        <f>ROUND(G113*E113,2)</f>
        <v>283.5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2801651.2</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2674125.91</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530"/>
      <c r="O131" s="530"/>
      <c r="P131" s="530"/>
      <c r="Q131" s="530"/>
      <c r="R131" s="530"/>
      <c r="S131" s="530"/>
      <c r="T131" s="530"/>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2674125.91</v>
      </c>
      <c r="I135" s="94">
        <f>ROUND(IF(E30=0,0,IF(E30&gt;250,-(((250/E30)*H135)*IF(G135="H",0.02,0.05)),IF(G135="H",-0.02*H135,-0.05*H135))),2)</f>
        <v>-98516.28</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2703134.9200000004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-449696.80000000005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2253438.12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225343.81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35190.019999999997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272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98.75</v>
      </c>
      <c r="D14" s="141">
        <v>97.28</v>
      </c>
      <c r="E14" s="187">
        <f>IF(D$30=0,C14*2,C14+D14)</f>
        <v>196.03</v>
      </c>
      <c r="F14" s="682">
        <f>'1461'!F14:G14</f>
        <v>1.1180000000000001</v>
      </c>
      <c r="G14" s="682"/>
      <c r="H14" s="145">
        <f>ROUND(E14*F14,4)</f>
        <v>219.16149999999999</v>
      </c>
      <c r="I14" s="111">
        <f>ROUND(ROUND(ROUND(H14*$C$8,4)*($H$8),2)*(MAX($H$9,1)),2)</f>
        <v>1216014.07</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8.5</v>
      </c>
      <c r="D15" s="143">
        <v>10.02</v>
      </c>
      <c r="E15" s="116">
        <f t="shared" ref="E15:E29" si="1">IF(D$30=0,C15*2,C15+D15)</f>
        <v>18.52</v>
      </c>
      <c r="F15" s="678">
        <f>'1461'!F15:G15</f>
        <v>1.1180000000000001</v>
      </c>
      <c r="G15" s="678"/>
      <c r="H15" s="80">
        <f t="shared" ref="H15:H29" si="2">ROUND(E15*F15,4)</f>
        <v>20.705400000000001</v>
      </c>
      <c r="I15" s="101">
        <f t="shared" ref="I15:I29" si="3">ROUND(ROUND(ROUND(H15*$C$8,4)*($H$8),2)*(MAX($H$9,1)),2)</f>
        <v>114883.58</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44.99</v>
      </c>
      <c r="D16" s="143">
        <v>45.38</v>
      </c>
      <c r="E16" s="116">
        <f t="shared" si="1"/>
        <v>90.37</v>
      </c>
      <c r="F16" s="678">
        <f>'1461'!F16:G16</f>
        <v>1</v>
      </c>
      <c r="G16" s="678"/>
      <c r="H16" s="80">
        <f t="shared" si="2"/>
        <v>90.37</v>
      </c>
      <c r="I16" s="101">
        <f t="shared" si="3"/>
        <v>501416.5</v>
      </c>
      <c r="N16" s="616" t="s">
        <v>22</v>
      </c>
      <c r="O16" s="616"/>
      <c r="P16" s="657">
        <f t="shared" si="0"/>
        <v>0</v>
      </c>
      <c r="Q16" s="657"/>
      <c r="R16" s="662">
        <v>1</v>
      </c>
      <c r="S16" s="662"/>
      <c r="T16" s="95">
        <f t="shared" si="4"/>
        <v>0</v>
      </c>
      <c r="U16" s="472">
        <f t="shared" si="5"/>
        <v>0</v>
      </c>
    </row>
    <row r="17" spans="1:21" x14ac:dyDescent="0.25">
      <c r="A17" s="593" t="s">
        <v>23</v>
      </c>
      <c r="B17" s="593"/>
      <c r="C17" s="143">
        <v>6.5</v>
      </c>
      <c r="D17" s="143">
        <v>7</v>
      </c>
      <c r="E17" s="116">
        <f t="shared" si="1"/>
        <v>13.5</v>
      </c>
      <c r="F17" s="678">
        <f>'1461'!F17:G17</f>
        <v>1</v>
      </c>
      <c r="G17" s="678"/>
      <c r="H17" s="80">
        <f t="shared" si="2"/>
        <v>13.5</v>
      </c>
      <c r="I17" s="101">
        <f t="shared" si="3"/>
        <v>74904.53</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41.75</v>
      </c>
      <c r="D26" s="143">
        <v>41.81</v>
      </c>
      <c r="E26" s="116">
        <f t="shared" si="1"/>
        <v>83.56</v>
      </c>
      <c r="F26" s="678">
        <f>'1461'!F26:G26</f>
        <v>1.1919999999999999</v>
      </c>
      <c r="G26" s="678"/>
      <c r="H26" s="80">
        <f t="shared" si="2"/>
        <v>99.603499999999997</v>
      </c>
      <c r="I26" s="101">
        <f t="shared" si="3"/>
        <v>552648.42000000004</v>
      </c>
      <c r="N26" s="616" t="s">
        <v>85</v>
      </c>
      <c r="O26" s="616"/>
      <c r="P26" s="657">
        <f t="shared" si="0"/>
        <v>0</v>
      </c>
      <c r="Q26" s="657"/>
      <c r="R26" s="662">
        <v>1</v>
      </c>
      <c r="S26" s="662"/>
      <c r="T26" s="95">
        <f t="shared" si="4"/>
        <v>0</v>
      </c>
      <c r="U26" s="472">
        <f t="shared" si="5"/>
        <v>0</v>
      </c>
    </row>
    <row r="27" spans="1:21" x14ac:dyDescent="0.25">
      <c r="A27" s="593" t="s">
        <v>86</v>
      </c>
      <c r="B27" s="593"/>
      <c r="C27" s="143">
        <v>7.01</v>
      </c>
      <c r="D27" s="143">
        <v>8.1</v>
      </c>
      <c r="E27" s="116">
        <f t="shared" si="1"/>
        <v>15.11</v>
      </c>
      <c r="F27" s="678">
        <f>'1461'!F27:G27</f>
        <v>1.1919999999999999</v>
      </c>
      <c r="G27" s="678"/>
      <c r="H27" s="80">
        <f t="shared" si="2"/>
        <v>18.011099999999999</v>
      </c>
      <c r="I27" s="101">
        <f t="shared" si="3"/>
        <v>99934.3</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207.5</v>
      </c>
      <c r="D30" s="94">
        <f>SUM(D14:D29)</f>
        <v>209.59</v>
      </c>
      <c r="E30" s="94">
        <f>SUM(E14:E29)</f>
        <v>417.09000000000003</v>
      </c>
      <c r="F30" s="597"/>
      <c r="G30" s="597"/>
      <c r="H30" s="99">
        <f>SUM(H14:H29)</f>
        <v>461.35149999999999</v>
      </c>
      <c r="I30" s="94">
        <f>SUM(I14:I29)</f>
        <v>2559801.4</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461.35149999999999</v>
      </c>
      <c r="F46" s="34"/>
      <c r="G46" s="106"/>
      <c r="H46" s="107" t="s">
        <v>98</v>
      </c>
      <c r="I46" s="94">
        <f>SUM(I44,I30)</f>
        <v>2559801.4</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2559801.4</v>
      </c>
      <c r="G51" s="109" t="s">
        <v>6</v>
      </c>
      <c r="H51" s="400">
        <v>5.5899999999999998E-2</v>
      </c>
      <c r="I51" s="101">
        <f>ROUND(F51*H51,2)</f>
        <v>143092.9</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2559801.4</v>
      </c>
      <c r="G52" s="109" t="s">
        <v>6</v>
      </c>
      <c r="H52" s="400">
        <v>1.0699999999999999E-2</v>
      </c>
      <c r="I52" s="101">
        <f>ROUND(F52*H52,2)</f>
        <v>27389.87</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170482.77</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7.5</v>
      </c>
      <c r="D57" s="143">
        <v>8.52</v>
      </c>
      <c r="E57" s="116">
        <f t="shared" ref="E57:E65" si="10">IF(D$66=0,C57*2,C57+D57)</f>
        <v>16.02</v>
      </c>
      <c r="F57" s="442" t="s">
        <v>437</v>
      </c>
      <c r="G57" s="442">
        <v>251</v>
      </c>
      <c r="H57" s="456">
        <f>'1461'!H57</f>
        <v>1047</v>
      </c>
      <c r="I57" s="101">
        <f>ROUND(E57*H57,2)</f>
        <v>16772.939999999999</v>
      </c>
      <c r="N57" s="633" t="s">
        <v>445</v>
      </c>
      <c r="O57" s="633"/>
      <c r="P57" s="636"/>
      <c r="Q57" s="636"/>
      <c r="R57" s="448" t="s">
        <v>437</v>
      </c>
      <c r="S57" s="448">
        <v>251</v>
      </c>
      <c r="T57" s="459">
        <f>H57</f>
        <v>1047</v>
      </c>
      <c r="U57" s="473">
        <f>ROUND(P57*T57,2)</f>
        <v>0</v>
      </c>
      <c r="V57" s="423"/>
    </row>
    <row r="58" spans="1:22" x14ac:dyDescent="0.25">
      <c r="A58" s="604"/>
      <c r="B58" s="604"/>
      <c r="C58" s="143">
        <v>1</v>
      </c>
      <c r="D58" s="143">
        <v>1.5</v>
      </c>
      <c r="E58" s="116">
        <f t="shared" si="10"/>
        <v>2.5</v>
      </c>
      <c r="F58" s="442" t="s">
        <v>437</v>
      </c>
      <c r="G58" s="442">
        <v>252</v>
      </c>
      <c r="H58" s="456">
        <f>'1461'!H58</f>
        <v>3380</v>
      </c>
      <c r="I58" s="101">
        <f t="shared" ref="I58:I65" si="11">ROUND(E58*H58,2)</f>
        <v>8450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6</v>
      </c>
      <c r="D60" s="143">
        <v>6.59</v>
      </c>
      <c r="E60" s="116">
        <f t="shared" si="10"/>
        <v>12.59</v>
      </c>
      <c r="F60" s="443" t="s">
        <v>13</v>
      </c>
      <c r="G60" s="442">
        <v>251</v>
      </c>
      <c r="H60" s="456">
        <f>'1461'!H60</f>
        <v>1173</v>
      </c>
      <c r="I60" s="101">
        <f t="shared" si="11"/>
        <v>14768.07</v>
      </c>
      <c r="N60" s="634"/>
      <c r="O60" s="634"/>
      <c r="P60" s="637"/>
      <c r="Q60" s="637"/>
      <c r="R60" s="40" t="s">
        <v>13</v>
      </c>
      <c r="S60" s="448">
        <v>251</v>
      </c>
      <c r="T60" s="459">
        <f t="shared" si="12"/>
        <v>1173</v>
      </c>
      <c r="U60" s="473">
        <f t="shared" si="13"/>
        <v>0</v>
      </c>
      <c r="V60" s="423"/>
    </row>
    <row r="61" spans="1:22" x14ac:dyDescent="0.25">
      <c r="A61" s="604"/>
      <c r="B61" s="604"/>
      <c r="C61" s="143">
        <v>0.5</v>
      </c>
      <c r="D61" s="143">
        <v>0.41</v>
      </c>
      <c r="E61" s="116">
        <f t="shared" si="10"/>
        <v>0.90999999999999992</v>
      </c>
      <c r="F61" s="443" t="s">
        <v>13</v>
      </c>
      <c r="G61" s="442">
        <v>252</v>
      </c>
      <c r="H61" s="456">
        <f>'1461'!H61</f>
        <v>3506</v>
      </c>
      <c r="I61" s="101">
        <f t="shared" si="11"/>
        <v>3190.46</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15</v>
      </c>
      <c r="D66" s="97">
        <f>SUM(D57:D65)</f>
        <v>17.02</v>
      </c>
      <c r="E66" s="97">
        <f>SUM(E57:E65)</f>
        <v>32.019999999999996</v>
      </c>
      <c r="F66" s="605" t="s">
        <v>446</v>
      </c>
      <c r="G66" s="605"/>
      <c r="H66" s="605"/>
      <c r="I66" s="97">
        <f>SUM(I57:I65)</f>
        <v>43181.469999999994</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417.09000000000003</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1.9840000000000001E-3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461.35149999999999</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1.964E-3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417.09000000000003</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2.2230000000000001E-3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417.09000000000003</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1.9870000000000001E-3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417.09000000000003</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2.2269999999999998E-3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1.9870000000000001E-3</v>
      </c>
      <c r="I85" s="101">
        <f>ROUND(F85*H85,2)</f>
        <v>91727.28</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1.9840000000000001E-3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2.2269999999999998E-3</v>
      </c>
      <c r="I90" s="101">
        <f>ROUND(F90*H90,2)</f>
        <v>42406.59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2.2230000000000001E-3</v>
      </c>
      <c r="I92" s="101">
        <f t="shared" ref="I92:I96" si="14">ROUND(F92*H92,2)</f>
        <v>25433.68</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1.964E-3</v>
      </c>
      <c r="I94" s="101">
        <f t="shared" si="14"/>
        <v>502306.39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1.964E-3</v>
      </c>
      <c r="I96" s="101">
        <f t="shared" si="14"/>
        <v>-3114.04</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1.9840000000000001E-3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339.47039999999998</v>
      </c>
      <c r="D104" s="611"/>
      <c r="E104" s="46">
        <f>H8</f>
        <v>1.0407999999999999</v>
      </c>
      <c r="F104" s="302">
        <f>'1461'!F104</f>
        <v>950.92</v>
      </c>
      <c r="G104" s="39" t="s">
        <v>12</v>
      </c>
      <c r="H104" s="101">
        <f>ROUND(C104*E104*F104,2)</f>
        <v>335979.81</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121.8811</v>
      </c>
      <c r="D105" s="611"/>
      <c r="E105" s="46">
        <f>H8</f>
        <v>1.0407999999999999</v>
      </c>
      <c r="F105" s="302">
        <f>'1461'!F105</f>
        <v>907.92</v>
      </c>
      <c r="G105" s="39" t="s">
        <v>12</v>
      </c>
      <c r="H105" s="101">
        <f>ROUND(C105*E105*F105,2)</f>
        <v>115173.15</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461.35149999999999</v>
      </c>
      <c r="D107" s="601"/>
      <c r="E107" s="123"/>
      <c r="F107" s="123"/>
      <c r="G107" s="123"/>
      <c r="H107" s="124" t="s">
        <v>100</v>
      </c>
      <c r="I107" s="101">
        <f>IF(A1=75,0,H106+H105+H104)</f>
        <v>451152.95999999996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44">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3713462.73</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3542979.96</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3542979.96</v>
      </c>
      <c r="I135" s="94">
        <f>ROUND(IF(E30=0,0,IF(E30&gt;250,-(((250/E30)*H135)*IF(G135="H",0.02,0.05)),IF(G135="H",-0.02*H135,-0.05*H135))),2)</f>
        <v>-106181.52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3607281.21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Payments'!Q109</f>
        <v>-600124.17999999993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3007157.0300000003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300715.7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70967.48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A126:C126"/>
    <mergeCell ref="F126:H126"/>
    <mergeCell ref="N130:T130"/>
    <mergeCell ref="A128:H128"/>
    <mergeCell ref="A132:G132"/>
    <mergeCell ref="N135:U135"/>
    <mergeCell ref="A133:G133"/>
    <mergeCell ref="N136:U136"/>
    <mergeCell ref="N126:P126"/>
    <mergeCell ref="N132:T132"/>
    <mergeCell ref="N133:T133"/>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266</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0.5</v>
      </c>
      <c r="D15" s="143">
        <v>1</v>
      </c>
      <c r="E15" s="116">
        <f t="shared" ref="E15:E29" si="1">IF(D$30=0,C15*2,C15+D15)</f>
        <v>1.5</v>
      </c>
      <c r="F15" s="678">
        <f>'1461'!F15:G15</f>
        <v>1.1180000000000001</v>
      </c>
      <c r="G15" s="678"/>
      <c r="H15" s="80">
        <f t="shared" ref="H15:H29" si="2">ROUND(E15*F15,4)</f>
        <v>1.677</v>
      </c>
      <c r="I15" s="101">
        <f t="shared" ref="I15:I29" si="3">ROUND(ROUND(ROUND(H15*$C$8,4)*($H$8),2)*(MAX($H$9,1)),2)</f>
        <v>9304.81</v>
      </c>
      <c r="J15" s="65" t="str">
        <f>IF(ROUND(E15,2)=ROUND(SUM(E57:E59),2)," ","CHECK PK-3 LINES BELOW")</f>
        <v xml:space="preserve"> </v>
      </c>
      <c r="N15" s="616" t="s">
        <v>21</v>
      </c>
      <c r="O15" s="616"/>
      <c r="P15" s="657">
        <f t="shared" si="0"/>
        <v>1.5</v>
      </c>
      <c r="Q15" s="657"/>
      <c r="R15" s="662">
        <v>1</v>
      </c>
      <c r="S15" s="662"/>
      <c r="T15" s="95">
        <f t="shared" ref="T15:T29" si="4">ROUND(P15*R15,4)</f>
        <v>1.5</v>
      </c>
      <c r="U15" s="472">
        <f t="shared" ref="U15:U29" si="5">ROUND(ROUND(ROUND(T15*$C$8,4)*($H$8),2)*(MAX($H$9,1)),2)</f>
        <v>8322.73</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1.5</v>
      </c>
      <c r="D17" s="143">
        <v>1.5</v>
      </c>
      <c r="E17" s="116">
        <f t="shared" si="1"/>
        <v>3</v>
      </c>
      <c r="F17" s="678">
        <f>'1461'!F17:G17</f>
        <v>1</v>
      </c>
      <c r="G17" s="678"/>
      <c r="H17" s="80">
        <f t="shared" si="2"/>
        <v>3</v>
      </c>
      <c r="I17" s="101">
        <f t="shared" si="3"/>
        <v>16645.45</v>
      </c>
      <c r="J17" s="65" t="str">
        <f>IF(ROUND(E17,2)=ROUND(SUM(E60:E62),2)," ","CHECK 4-8 LINES BELOW")</f>
        <v xml:space="preserve"> </v>
      </c>
      <c r="N17" s="616" t="s">
        <v>23</v>
      </c>
      <c r="O17" s="616"/>
      <c r="P17" s="657">
        <f t="shared" si="0"/>
        <v>3</v>
      </c>
      <c r="Q17" s="657"/>
      <c r="R17" s="662">
        <v>1</v>
      </c>
      <c r="S17" s="662"/>
      <c r="T17" s="95">
        <f t="shared" si="4"/>
        <v>3</v>
      </c>
      <c r="U17" s="472">
        <f t="shared" si="5"/>
        <v>16645.45</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10.5</v>
      </c>
      <c r="D20" s="143">
        <v>11</v>
      </c>
      <c r="E20" s="116">
        <f t="shared" si="1"/>
        <v>21.5</v>
      </c>
      <c r="F20" s="678">
        <f>'1461'!F20:G20</f>
        <v>3.6970000000000001</v>
      </c>
      <c r="G20" s="678"/>
      <c r="H20" s="80">
        <f t="shared" si="2"/>
        <v>79.485500000000002</v>
      </c>
      <c r="I20" s="101">
        <f t="shared" si="3"/>
        <v>441024.02</v>
      </c>
      <c r="N20" s="616" t="s">
        <v>79</v>
      </c>
      <c r="O20" s="616"/>
      <c r="P20" s="657">
        <f t="shared" si="0"/>
        <v>21.5</v>
      </c>
      <c r="Q20" s="657"/>
      <c r="R20" s="662">
        <v>1</v>
      </c>
      <c r="S20" s="662"/>
      <c r="T20" s="95">
        <f t="shared" si="4"/>
        <v>21.5</v>
      </c>
      <c r="U20" s="472">
        <f t="shared" si="5"/>
        <v>119292.41</v>
      </c>
    </row>
    <row r="21" spans="1:21" x14ac:dyDescent="0.25">
      <c r="A21" s="593" t="s">
        <v>80</v>
      </c>
      <c r="B21" s="593"/>
      <c r="C21" s="143">
        <v>10</v>
      </c>
      <c r="D21" s="143">
        <v>9.5</v>
      </c>
      <c r="E21" s="116">
        <f t="shared" si="1"/>
        <v>19.5</v>
      </c>
      <c r="F21" s="678">
        <f>'1461'!F21:G21</f>
        <v>3.6970000000000001</v>
      </c>
      <c r="G21" s="678"/>
      <c r="H21" s="80">
        <f t="shared" si="2"/>
        <v>72.091499999999996</v>
      </c>
      <c r="I21" s="101">
        <f t="shared" si="3"/>
        <v>399998.53</v>
      </c>
      <c r="N21" s="616" t="s">
        <v>80</v>
      </c>
      <c r="O21" s="616"/>
      <c r="P21" s="657">
        <f t="shared" si="0"/>
        <v>19.5</v>
      </c>
      <c r="Q21" s="657"/>
      <c r="R21" s="662">
        <v>1</v>
      </c>
      <c r="S21" s="662"/>
      <c r="T21" s="95">
        <f t="shared" si="4"/>
        <v>19.5</v>
      </c>
      <c r="U21" s="472">
        <f t="shared" si="5"/>
        <v>108195.44</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13</v>
      </c>
      <c r="D23" s="143">
        <v>13.5</v>
      </c>
      <c r="E23" s="116">
        <f t="shared" si="1"/>
        <v>26.5</v>
      </c>
      <c r="F23" s="678">
        <f>'1461'!F23:G23</f>
        <v>5.992</v>
      </c>
      <c r="G23" s="678"/>
      <c r="H23" s="80">
        <f t="shared" si="2"/>
        <v>158.78800000000001</v>
      </c>
      <c r="I23" s="101">
        <f t="shared" si="3"/>
        <v>881032.67</v>
      </c>
      <c r="N23" s="616" t="s">
        <v>82</v>
      </c>
      <c r="O23" s="616"/>
      <c r="P23" s="657">
        <f t="shared" si="0"/>
        <v>26.5</v>
      </c>
      <c r="Q23" s="657"/>
      <c r="R23" s="662">
        <v>1</v>
      </c>
      <c r="S23" s="662"/>
      <c r="T23" s="95">
        <f t="shared" si="4"/>
        <v>26.5</v>
      </c>
      <c r="U23" s="472">
        <f t="shared" si="5"/>
        <v>147034.82999999999</v>
      </c>
    </row>
    <row r="24" spans="1:21" x14ac:dyDescent="0.25">
      <c r="A24" s="593" t="s">
        <v>83</v>
      </c>
      <c r="B24" s="593"/>
      <c r="C24" s="143">
        <v>9</v>
      </c>
      <c r="D24" s="143">
        <v>8.5</v>
      </c>
      <c r="E24" s="116">
        <f t="shared" si="1"/>
        <v>17.5</v>
      </c>
      <c r="F24" s="678">
        <f>'1461'!F24:G24</f>
        <v>5.992</v>
      </c>
      <c r="G24" s="678"/>
      <c r="H24" s="80">
        <f t="shared" si="2"/>
        <v>104.86</v>
      </c>
      <c r="I24" s="101">
        <f t="shared" si="3"/>
        <v>581814.03</v>
      </c>
      <c r="N24" s="616" t="s">
        <v>83</v>
      </c>
      <c r="O24" s="616"/>
      <c r="P24" s="657">
        <f t="shared" si="0"/>
        <v>17.5</v>
      </c>
      <c r="Q24" s="657"/>
      <c r="R24" s="662">
        <v>1</v>
      </c>
      <c r="S24" s="662"/>
      <c r="T24" s="95">
        <f t="shared" si="4"/>
        <v>17.5</v>
      </c>
      <c r="U24" s="472">
        <f t="shared" si="5"/>
        <v>97098.47</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44.5</v>
      </c>
      <c r="D30" s="94">
        <f>SUM(D14:D29)</f>
        <v>45</v>
      </c>
      <c r="E30" s="94">
        <f>SUM(E14:E29)</f>
        <v>89.5</v>
      </c>
      <c r="F30" s="597"/>
      <c r="G30" s="597"/>
      <c r="H30" s="99">
        <f>SUM(H14:H29)</f>
        <v>419.90200000000004</v>
      </c>
      <c r="I30" s="94">
        <f>SUM(I14:I29)</f>
        <v>2329819.5099999998</v>
      </c>
      <c r="N30" s="659" t="s">
        <v>5</v>
      </c>
      <c r="O30" s="659"/>
      <c r="P30" s="660">
        <f>SUM(P14:P29)</f>
        <v>89.5</v>
      </c>
      <c r="Q30" s="660"/>
      <c r="R30" s="632"/>
      <c r="S30" s="632"/>
      <c r="T30" s="100">
        <f>SUM(T14:T29)</f>
        <v>89.5</v>
      </c>
      <c r="U30" s="472">
        <f>SUM(U14:U29)</f>
        <v>496589.32999999996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419.90200000000004</v>
      </c>
      <c r="F46" s="34"/>
      <c r="G46" s="106"/>
      <c r="H46" s="107" t="s">
        <v>98</v>
      </c>
      <c r="I46" s="94">
        <f>SUM(I44,I30)</f>
        <v>2329819.5099999998</v>
      </c>
      <c r="N46" s="618" t="s">
        <v>44</v>
      </c>
      <c r="O46" s="618"/>
      <c r="P46" s="618"/>
      <c r="Q46" s="618"/>
      <c r="R46" s="35">
        <f>R44+T30</f>
        <v>89.5</v>
      </c>
      <c r="S46" s="632" t="s">
        <v>42</v>
      </c>
      <c r="T46" s="632"/>
      <c r="U46" s="108">
        <f>SUM(U44,U30)</f>
        <v>496589.32999999996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2329819.5099999998</v>
      </c>
      <c r="G51" s="109" t="s">
        <v>6</v>
      </c>
      <c r="H51" s="400">
        <v>5.5899999999999998E-2</v>
      </c>
      <c r="I51" s="101">
        <f>ROUND(F51*H51,2)</f>
        <v>130236.91</v>
      </c>
      <c r="N51" s="405"/>
      <c r="O51" s="406" t="s">
        <v>513</v>
      </c>
      <c r="P51" s="28"/>
      <c r="Q51" s="44" t="s">
        <v>399</v>
      </c>
      <c r="R51" s="407">
        <f>U30</f>
        <v>496589.32999999996</v>
      </c>
      <c r="S51" s="408" t="s">
        <v>6</v>
      </c>
      <c r="T51" s="409">
        <v>5.5899999999999998E-2</v>
      </c>
      <c r="U51" s="401">
        <f>ROUND(R51*T51,2)</f>
        <v>27759.34</v>
      </c>
    </row>
    <row r="52" spans="1:22" x14ac:dyDescent="0.25">
      <c r="A52" s="26"/>
      <c r="B52" s="558" t="s">
        <v>522</v>
      </c>
      <c r="C52" s="26"/>
      <c r="D52" s="26"/>
      <c r="E52" s="43" t="s">
        <v>399</v>
      </c>
      <c r="F52" s="399">
        <v>2329819.5099999998</v>
      </c>
      <c r="G52" s="109" t="s">
        <v>6</v>
      </c>
      <c r="H52" s="400">
        <v>1.0699999999999999E-2</v>
      </c>
      <c r="I52" s="101">
        <f>ROUND(F52*H52,2)</f>
        <v>24929.07</v>
      </c>
      <c r="N52" s="28"/>
      <c r="O52" s="559" t="s">
        <v>521</v>
      </c>
      <c r="P52" s="28"/>
      <c r="Q52" s="44" t="s">
        <v>399</v>
      </c>
      <c r="R52" s="407">
        <f>U30</f>
        <v>496589.32999999996</v>
      </c>
      <c r="S52" s="408" t="s">
        <v>6</v>
      </c>
      <c r="T52" s="409">
        <v>1.0699999999999999E-2</v>
      </c>
      <c r="U52" s="410">
        <f>ROUND(R52*T52,2)</f>
        <v>5313.51</v>
      </c>
    </row>
    <row r="53" spans="1:22" x14ac:dyDescent="0.25">
      <c r="A53" s="26"/>
      <c r="B53" s="81" t="s">
        <v>400</v>
      </c>
      <c r="C53" s="26"/>
      <c r="D53" s="26"/>
      <c r="E53" s="43"/>
      <c r="F53" s="399"/>
      <c r="G53" s="109"/>
      <c r="H53" s="400"/>
      <c r="I53" s="97">
        <f>SUM(I51:I52)</f>
        <v>155165.98000000001</v>
      </c>
      <c r="N53" s="28"/>
      <c r="O53" s="382" t="s">
        <v>400</v>
      </c>
      <c r="P53" s="28"/>
      <c r="Q53" s="44"/>
      <c r="R53" s="407"/>
      <c r="S53" s="408"/>
      <c r="T53" s="409"/>
      <c r="U53" s="401">
        <f>SUM(U51:U52)</f>
        <v>33072.85</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0.5</v>
      </c>
      <c r="D59" s="143">
        <v>1</v>
      </c>
      <c r="E59" s="116">
        <f t="shared" si="10"/>
        <v>1.5</v>
      </c>
      <c r="F59" s="442" t="s">
        <v>437</v>
      </c>
      <c r="G59" s="442">
        <v>253</v>
      </c>
      <c r="H59" s="456">
        <f>'1461'!H59</f>
        <v>6896</v>
      </c>
      <c r="I59" s="101">
        <f t="shared" si="11"/>
        <v>10344</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1.5</v>
      </c>
      <c r="D62" s="143">
        <v>1.5</v>
      </c>
      <c r="E62" s="116">
        <f t="shared" si="10"/>
        <v>3</v>
      </c>
      <c r="F62" s="443" t="s">
        <v>13</v>
      </c>
      <c r="G62" s="442">
        <v>253</v>
      </c>
      <c r="H62" s="456">
        <f>'1461'!H62</f>
        <v>7023</v>
      </c>
      <c r="I62" s="101">
        <f t="shared" si="11"/>
        <v>21069</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v>
      </c>
      <c r="D66" s="97">
        <f>SUM(D57:D65)</f>
        <v>2.5</v>
      </c>
      <c r="E66" s="97">
        <f>SUM(E57:E65)</f>
        <v>4.5</v>
      </c>
      <c r="F66" s="605" t="s">
        <v>446</v>
      </c>
      <c r="G66" s="605"/>
      <c r="H66" s="605"/>
      <c r="I66" s="97">
        <f>SUM(I57:I65)</f>
        <v>31413</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89.5</v>
      </c>
      <c r="D69" s="580" t="s">
        <v>412</v>
      </c>
      <c r="E69" s="580"/>
      <c r="F69" s="580"/>
      <c r="G69" s="580"/>
      <c r="H69" s="299">
        <f>'1461'!H69</f>
        <v>210228.91</v>
      </c>
      <c r="I69" s="113"/>
      <c r="N69" s="615" t="s">
        <v>405</v>
      </c>
      <c r="O69" s="616"/>
      <c r="P69" s="41">
        <f>P30</f>
        <v>89.5</v>
      </c>
      <c r="Q69" s="621" t="s">
        <v>407</v>
      </c>
      <c r="R69" s="622"/>
      <c r="S69" s="622"/>
      <c r="T69" s="619">
        <f>H69</f>
        <v>210228.91</v>
      </c>
      <c r="U69" s="619"/>
    </row>
    <row r="70" spans="1:22" x14ac:dyDescent="0.25">
      <c r="B70" s="69"/>
      <c r="G70" s="42" t="s">
        <v>12</v>
      </c>
      <c r="H70" s="114">
        <f>ROUND(C69/H69,6)</f>
        <v>4.26E-4</v>
      </c>
      <c r="I70" s="115"/>
      <c r="N70" s="616"/>
      <c r="O70" s="616"/>
      <c r="P70" s="616"/>
      <c r="Q70" s="616"/>
      <c r="R70" s="616"/>
      <c r="S70" s="616"/>
      <c r="T70" s="620">
        <f>ROUND(P69/T69,6)</f>
        <v>4.26E-4</v>
      </c>
      <c r="U70" s="620"/>
    </row>
    <row r="71" spans="1:22" x14ac:dyDescent="0.25">
      <c r="A71" s="441" t="s">
        <v>449</v>
      </c>
      <c r="N71" s="452" t="s">
        <v>457</v>
      </c>
      <c r="O71" s="51"/>
      <c r="P71" s="51"/>
      <c r="Q71" s="51"/>
      <c r="R71" s="51"/>
      <c r="S71" s="51"/>
      <c r="T71" s="51"/>
      <c r="U71" s="51"/>
    </row>
    <row r="72" spans="1:22" x14ac:dyDescent="0.25">
      <c r="A72" s="599" t="s">
        <v>402</v>
      </c>
      <c r="B72" s="593"/>
      <c r="C72" s="112">
        <f>H30</f>
        <v>419.90200000000004</v>
      </c>
      <c r="D72" s="580" t="s">
        <v>413</v>
      </c>
      <c r="E72" s="580"/>
      <c r="F72" s="580"/>
      <c r="G72" s="580"/>
      <c r="H72" s="300">
        <f>'1461'!H72</f>
        <v>234891.44</v>
      </c>
      <c r="I72" s="116"/>
      <c r="N72" s="615" t="s">
        <v>406</v>
      </c>
      <c r="O72" s="616"/>
      <c r="P72" s="41">
        <f>T30</f>
        <v>89.5</v>
      </c>
      <c r="Q72" s="621" t="s">
        <v>408</v>
      </c>
      <c r="R72" s="622"/>
      <c r="S72" s="622"/>
      <c r="T72" s="619">
        <f>H72</f>
        <v>234891.44</v>
      </c>
      <c r="U72" s="619"/>
    </row>
    <row r="73" spans="1:22" x14ac:dyDescent="0.25">
      <c r="G73" s="42" t="s">
        <v>12</v>
      </c>
      <c r="H73" s="114">
        <f>ROUND(C72/H72,6)</f>
        <v>1.7880000000000001E-3</v>
      </c>
      <c r="I73" s="114"/>
      <c r="N73" s="616"/>
      <c r="O73" s="616"/>
      <c r="P73" s="616"/>
      <c r="Q73" s="616"/>
      <c r="R73" s="616"/>
      <c r="S73" s="616"/>
      <c r="T73" s="620">
        <f>ROUND(P72/T72,6)</f>
        <v>3.8099999999999999E-4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89.5</v>
      </c>
      <c r="D75" s="572" t="s">
        <v>414</v>
      </c>
      <c r="E75" s="572"/>
      <c r="F75" s="572"/>
      <c r="G75" s="572"/>
      <c r="H75" s="299">
        <f>'1461'!H75</f>
        <v>187665.41</v>
      </c>
      <c r="I75" s="113"/>
      <c r="N75" s="615" t="s">
        <v>404</v>
      </c>
      <c r="O75" s="616"/>
      <c r="P75" s="41">
        <f>P30</f>
        <v>89.5</v>
      </c>
      <c r="Q75" s="651" t="s">
        <v>409</v>
      </c>
      <c r="R75" s="652"/>
      <c r="S75" s="652"/>
      <c r="T75" s="619">
        <f>H75</f>
        <v>187665.41</v>
      </c>
      <c r="U75" s="619"/>
    </row>
    <row r="76" spans="1:22" x14ac:dyDescent="0.25">
      <c r="B76" s="69"/>
      <c r="G76" s="42" t="s">
        <v>12</v>
      </c>
      <c r="H76" s="114">
        <f>ROUND(C75/H75,6)</f>
        <v>4.7699999999999999E-4</v>
      </c>
      <c r="I76" s="115"/>
      <c r="N76" s="616"/>
      <c r="O76" s="616"/>
      <c r="P76" s="616"/>
      <c r="Q76" s="616"/>
      <c r="R76" s="616"/>
      <c r="S76" s="616"/>
      <c r="T76" s="620">
        <f>ROUND(P75/T75,6)</f>
        <v>4.7699999999999999E-4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89.5</v>
      </c>
      <c r="D78" s="600" t="s">
        <v>415</v>
      </c>
      <c r="E78" s="600"/>
      <c r="F78" s="600"/>
      <c r="G78" s="600"/>
      <c r="H78" s="299">
        <f>'1461'!H78</f>
        <v>209892.26</v>
      </c>
      <c r="I78" s="113"/>
      <c r="N78" s="615" t="s">
        <v>404</v>
      </c>
      <c r="O78" s="616"/>
      <c r="P78" s="41">
        <f>P30</f>
        <v>89.5</v>
      </c>
      <c r="Q78" s="649" t="s">
        <v>410</v>
      </c>
      <c r="R78" s="650"/>
      <c r="S78" s="650"/>
      <c r="T78" s="619">
        <f>H78</f>
        <v>209892.26</v>
      </c>
      <c r="U78" s="619"/>
    </row>
    <row r="79" spans="1:22" x14ac:dyDescent="0.25">
      <c r="B79" s="69"/>
      <c r="G79" s="42" t="s">
        <v>12</v>
      </c>
      <c r="H79" s="114">
        <f>ROUND(C78/H78,6)</f>
        <v>4.26E-4</v>
      </c>
      <c r="I79" s="115"/>
      <c r="N79" s="616"/>
      <c r="O79" s="616"/>
      <c r="P79" s="616"/>
      <c r="Q79" s="616"/>
      <c r="R79" s="616"/>
      <c r="S79" s="616"/>
      <c r="T79" s="620">
        <f>ROUND(P78/T78,6)</f>
        <v>4.26E-4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89.5</v>
      </c>
      <c r="D81" s="572" t="s">
        <v>416</v>
      </c>
      <c r="E81" s="572"/>
      <c r="F81" s="572"/>
      <c r="G81" s="572"/>
      <c r="H81" s="299">
        <f>'1461'!H81</f>
        <v>187328.76</v>
      </c>
      <c r="I81" s="113"/>
      <c r="N81" s="615" t="s">
        <v>417</v>
      </c>
      <c r="O81" s="616"/>
      <c r="P81" s="41">
        <f>P30</f>
        <v>89.5</v>
      </c>
      <c r="Q81" s="651" t="s">
        <v>418</v>
      </c>
      <c r="R81" s="652"/>
      <c r="S81" s="652"/>
      <c r="T81" s="619">
        <f>H81</f>
        <v>187328.76</v>
      </c>
      <c r="U81" s="619"/>
    </row>
    <row r="82" spans="1:21" x14ac:dyDescent="0.25">
      <c r="B82" s="69"/>
      <c r="G82" s="42" t="s">
        <v>12</v>
      </c>
      <c r="H82" s="114">
        <f>ROUND(C81/H81,6)</f>
        <v>4.7800000000000002E-4</v>
      </c>
      <c r="I82" s="115"/>
      <c r="N82" s="616"/>
      <c r="O82" s="616"/>
      <c r="P82" s="616"/>
      <c r="Q82" s="616"/>
      <c r="R82" s="616"/>
      <c r="S82" s="616"/>
      <c r="T82" s="620">
        <f>ROUND(P81/T81,6)</f>
        <v>4.7800000000000002E-4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4.26E-4</v>
      </c>
      <c r="I85" s="101">
        <f>ROUND(F85*H85,2)</f>
        <v>19665.740000000002</v>
      </c>
      <c r="N85" s="452" t="s">
        <v>453</v>
      </c>
      <c r="O85" s="51"/>
      <c r="P85" s="51"/>
      <c r="Q85" s="44"/>
      <c r="R85" s="418">
        <f>F85</f>
        <v>46163704</v>
      </c>
      <c r="S85" s="38" t="s">
        <v>6</v>
      </c>
      <c r="T85" s="420">
        <f>T79</f>
        <v>4.26E-4</v>
      </c>
      <c r="U85" s="472">
        <f>ROUND(R85*T85,2)</f>
        <v>19665.740000000002</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4.26E-4</v>
      </c>
      <c r="I88" s="101">
        <f>ROUND(F88*H88,2)</f>
        <v>0</v>
      </c>
      <c r="N88" s="653" t="s">
        <v>99</v>
      </c>
      <c r="O88" s="616"/>
      <c r="P88" s="616"/>
      <c r="Q88" s="44"/>
      <c r="R88" s="418">
        <f>F88</f>
        <v>0</v>
      </c>
      <c r="S88" s="38" t="s">
        <v>6</v>
      </c>
      <c r="T88" s="420">
        <f>T70</f>
        <v>4.26E-4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4.7800000000000002E-4</v>
      </c>
      <c r="I90" s="101">
        <f>ROUND(F90*H90,2)</f>
        <v>9102.09</v>
      </c>
      <c r="N90" s="452" t="s">
        <v>454</v>
      </c>
      <c r="O90" s="51"/>
      <c r="P90" s="51"/>
      <c r="Q90" s="44"/>
      <c r="R90" s="418">
        <f>F90</f>
        <v>19042026</v>
      </c>
      <c r="S90" s="38" t="s">
        <v>6</v>
      </c>
      <c r="T90" s="420">
        <f>T82</f>
        <v>4.7800000000000002E-4</v>
      </c>
      <c r="U90" s="472">
        <f>ROUND(R90*T90,2)</f>
        <v>9102.09</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4.7699999999999999E-4</v>
      </c>
      <c r="I92" s="101">
        <f t="shared" ref="I92:I96" si="14">ROUND(F92*H92,2)</f>
        <v>5457.43</v>
      </c>
      <c r="N92" s="452" t="s">
        <v>455</v>
      </c>
      <c r="O92" s="51"/>
      <c r="P92" s="51"/>
      <c r="Q92" s="44"/>
      <c r="R92" s="418">
        <f t="shared" ref="R92:R96" si="15">F92</f>
        <v>11441151</v>
      </c>
      <c r="S92" s="38" t="s">
        <v>6</v>
      </c>
      <c r="T92" s="420">
        <f>T76</f>
        <v>4.7699999999999999E-4</v>
      </c>
      <c r="U92" s="472">
        <f>ROUND(R92*T92,2)</f>
        <v>5457.43</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1.7880000000000001E-3</v>
      </c>
      <c r="I94" s="101">
        <f t="shared" si="14"/>
        <v>457293.19</v>
      </c>
      <c r="N94" s="616" t="s">
        <v>420</v>
      </c>
      <c r="O94" s="616"/>
      <c r="P94" s="616"/>
      <c r="Q94" s="44"/>
      <c r="R94" s="418">
        <f t="shared" si="15"/>
        <v>255756816</v>
      </c>
      <c r="S94" s="38" t="s">
        <v>6</v>
      </c>
      <c r="T94" s="420">
        <f>T73</f>
        <v>3.8099999999999999E-4</v>
      </c>
      <c r="U94" s="472">
        <f>ROUND(R94*T94,2)</f>
        <v>97443.35</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1.7880000000000001E-3</v>
      </c>
      <c r="I96" s="101">
        <f t="shared" si="14"/>
        <v>-2834.98</v>
      </c>
      <c r="N96" s="615" t="s">
        <v>421</v>
      </c>
      <c r="O96" s="616"/>
      <c r="P96" s="616"/>
      <c r="Q96" s="44"/>
      <c r="R96" s="418">
        <f t="shared" si="15"/>
        <v>-1585559</v>
      </c>
      <c r="S96" s="38" t="s">
        <v>6</v>
      </c>
      <c r="T96" s="420">
        <f>T73</f>
        <v>3.8099999999999999E-4</v>
      </c>
      <c r="U96" s="472">
        <f>ROUND(R96*T96,2)</f>
        <v>-604.1</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4.26E-4</v>
      </c>
      <c r="I98" s="101">
        <f t="shared" ref="I98" si="16">ROUND(F98*H98,2)</f>
        <v>0</v>
      </c>
      <c r="N98" s="532" t="s">
        <v>495</v>
      </c>
      <c r="O98" s="532"/>
      <c r="P98" s="532"/>
      <c r="Q98" s="44"/>
      <c r="R98" s="535">
        <f>F98</f>
        <v>0</v>
      </c>
      <c r="S98" s="533" t="s">
        <v>6</v>
      </c>
      <c r="T98" s="420">
        <f>T70</f>
        <v>4.26E-4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239.95050000000003</v>
      </c>
      <c r="D104" s="611"/>
      <c r="E104" s="46">
        <f>H8</f>
        <v>1.0407999999999999</v>
      </c>
      <c r="F104" s="302">
        <f>'1461'!F104</f>
        <v>950.92</v>
      </c>
      <c r="G104" s="39" t="s">
        <v>12</v>
      </c>
      <c r="H104" s="101">
        <f>ROUND(C104*E104*F104,2)</f>
        <v>237483.22</v>
      </c>
      <c r="I104" s="104"/>
      <c r="N104" s="28" t="s">
        <v>17</v>
      </c>
      <c r="O104" s="47">
        <f>T14+T15+T20+T23+T26</f>
        <v>49.5</v>
      </c>
      <c r="P104" s="626">
        <f>T8</f>
        <v>1.0407999999999999</v>
      </c>
      <c r="Q104" s="626"/>
      <c r="R104" s="48">
        <f>F104</f>
        <v>950.92</v>
      </c>
      <c r="S104" s="40" t="s">
        <v>12</v>
      </c>
      <c r="T104" s="478">
        <f>ROUND(O104*P104*R104,2)</f>
        <v>48991.02</v>
      </c>
      <c r="U104" s="102"/>
    </row>
    <row r="105" spans="1:21" x14ac:dyDescent="0.25">
      <c r="A105" s="49"/>
      <c r="B105" s="49" t="s">
        <v>104</v>
      </c>
      <c r="C105" s="611">
        <f>H16+H17+H21+H24+H27</f>
        <v>179.95150000000001</v>
      </c>
      <c r="D105" s="611"/>
      <c r="E105" s="46">
        <f>H8</f>
        <v>1.0407999999999999</v>
      </c>
      <c r="F105" s="302">
        <f>'1461'!F105</f>
        <v>907.92</v>
      </c>
      <c r="G105" s="39" t="s">
        <v>12</v>
      </c>
      <c r="H105" s="101">
        <f>ROUND(C105*E105*F105,2)</f>
        <v>170047.53</v>
      </c>
      <c r="N105" s="50" t="s">
        <v>13</v>
      </c>
      <c r="O105" s="47">
        <f>T16+T17+T21+T24+T27</f>
        <v>40</v>
      </c>
      <c r="P105" s="626">
        <f>T8</f>
        <v>1.0407999999999999</v>
      </c>
      <c r="Q105" s="626"/>
      <c r="R105" s="48">
        <f>F105</f>
        <v>907.92</v>
      </c>
      <c r="S105" s="40" t="s">
        <v>12</v>
      </c>
      <c r="T105" s="478">
        <f>ROUND(O105*P105*R105,2)</f>
        <v>37798.53</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419.90200000000004</v>
      </c>
      <c r="D107" s="601"/>
      <c r="E107" s="123"/>
      <c r="F107" s="123"/>
      <c r="G107" s="123"/>
      <c r="H107" s="124" t="s">
        <v>100</v>
      </c>
      <c r="I107" s="101">
        <f>IF(A1=75,0,H106+H105+H104)</f>
        <v>407530.75</v>
      </c>
      <c r="N107" s="56" t="s">
        <v>89</v>
      </c>
      <c r="O107" s="57">
        <f>SUM(O104:O106)</f>
        <v>89.5</v>
      </c>
      <c r="P107" s="627" t="s">
        <v>16</v>
      </c>
      <c r="Q107" s="628"/>
      <c r="R107" s="628"/>
      <c r="S107" s="628"/>
      <c r="T107" s="628"/>
      <c r="U107" s="472">
        <f>IF(N1=75,0,T106+T105+T104)</f>
        <v>86789.549999999988</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1</v>
      </c>
      <c r="D113" s="143">
        <v>0</v>
      </c>
      <c r="E113" s="144">
        <f>(C113+D113)/2</f>
        <v>0.5</v>
      </c>
      <c r="F113" s="126" t="s">
        <v>30</v>
      </c>
      <c r="G113" s="303">
        <f>'1461'!G113</f>
        <v>567</v>
      </c>
      <c r="I113" s="101">
        <f>ROUND(G113*E113,2)</f>
        <v>283.5</v>
      </c>
      <c r="N113" s="645" t="s">
        <v>52</v>
      </c>
      <c r="O113" s="645"/>
      <c r="P113" s="625">
        <f>IF(H133=1,E113,0)</f>
        <v>0.5</v>
      </c>
      <c r="Q113" s="625"/>
      <c r="R113" s="625"/>
      <c r="S113" s="83" t="s">
        <v>30</v>
      </c>
      <c r="T113" s="58">
        <f>G113</f>
        <v>567</v>
      </c>
      <c r="U113" s="472">
        <f>ROUND(T113*P113,2)</f>
        <v>283.5</v>
      </c>
    </row>
    <row r="114" spans="1:21" x14ac:dyDescent="0.25">
      <c r="A114" s="572" t="s">
        <v>382</v>
      </c>
      <c r="B114" s="573"/>
      <c r="C114" s="143">
        <v>1</v>
      </c>
      <c r="D114" s="143">
        <v>0</v>
      </c>
      <c r="E114" s="144">
        <f>(C114+D114)/2</f>
        <v>0.5</v>
      </c>
      <c r="F114" s="126" t="s">
        <v>30</v>
      </c>
      <c r="G114" s="303">
        <f>'1461'!G114</f>
        <v>1821</v>
      </c>
      <c r="I114" s="101">
        <f>ROUND(G114*E114,2)</f>
        <v>910.5</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3258640.73</v>
      </c>
      <c r="N128" s="452"/>
      <c r="O128" s="451"/>
      <c r="P128" s="451"/>
      <c r="Q128" s="305"/>
      <c r="R128" s="305"/>
      <c r="S128" s="305"/>
      <c r="T128" s="305"/>
      <c r="U128" s="479">
        <f>SUM(U30,U85,U88,U90,U92,U94,U96,U107,U113,U114,U124,U126)</f>
        <v>714726.8899999999</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3103474.75</v>
      </c>
      <c r="N130" s="616" t="s">
        <v>432</v>
      </c>
      <c r="O130" s="616"/>
      <c r="P130" s="616"/>
      <c r="Q130" s="616"/>
      <c r="R130" s="616"/>
      <c r="S130" s="616"/>
      <c r="T130" s="616"/>
      <c r="U130" s="132">
        <f>U128-U53</f>
        <v>681654.03999999992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681654.03999999992</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681654.03999999992</v>
      </c>
      <c r="I135" s="94">
        <f>ROUND(IF(E30=0,0,IF(E30&gt;250,-(((250/E30)*H135)*IF(G135="H",0.02,0.05)),IF(G135="H",-0.02*H135,-0.05*H135))),2)</f>
        <v>-34082.699999999997</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3224558.03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-536471.10000000009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2688086.9299999997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268808.69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284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332">
        <v>45200</v>
      </c>
      <c r="D11" s="332">
        <v>45200</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24.16</v>
      </c>
      <c r="D14" s="141">
        <v>19.55</v>
      </c>
      <c r="E14" s="187">
        <f>IF(D$30=0,C14*2,C14+D14)</f>
        <v>43.71</v>
      </c>
      <c r="F14" s="682">
        <f>'1461'!F14:G14</f>
        <v>1.1180000000000001</v>
      </c>
      <c r="G14" s="682"/>
      <c r="H14" s="145">
        <f>ROUND(E14*F14,4)</f>
        <v>48.867800000000003</v>
      </c>
      <c r="I14" s="111">
        <f>ROUND(ROUND(ROUND(H14*$C$8,4)*($H$8),2)*(MAX($H$9,1)),2)</f>
        <v>271142.21000000002</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2.5</v>
      </c>
      <c r="D15" s="143">
        <v>1.5</v>
      </c>
      <c r="E15" s="116">
        <f t="shared" ref="E15:E29" si="1">IF(D$30=0,C15*2,C15+D15)</f>
        <v>4</v>
      </c>
      <c r="F15" s="678">
        <f>'1461'!F15:G15</f>
        <v>1.1180000000000001</v>
      </c>
      <c r="G15" s="678"/>
      <c r="H15" s="80">
        <f t="shared" ref="H15:H29" si="2">ROUND(E15*F15,4)</f>
        <v>4.4720000000000004</v>
      </c>
      <c r="I15" s="101">
        <f t="shared" ref="I15:I29" si="3">ROUND(ROUND(ROUND(H15*$C$8,4)*($H$8),2)*(MAX($H$9,1)),2)</f>
        <v>24812.82</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29.83</v>
      </c>
      <c r="D16" s="143">
        <v>23.07</v>
      </c>
      <c r="E16" s="116">
        <f t="shared" si="1"/>
        <v>52.9</v>
      </c>
      <c r="F16" s="678">
        <f>'1461'!F16:G16</f>
        <v>1</v>
      </c>
      <c r="G16" s="678"/>
      <c r="H16" s="80">
        <f t="shared" si="2"/>
        <v>52.9</v>
      </c>
      <c r="I16" s="101">
        <f t="shared" si="3"/>
        <v>293514.8</v>
      </c>
      <c r="N16" s="616" t="s">
        <v>22</v>
      </c>
      <c r="O16" s="616"/>
      <c r="P16" s="657">
        <f t="shared" si="0"/>
        <v>0</v>
      </c>
      <c r="Q16" s="657"/>
      <c r="R16" s="662">
        <v>1</v>
      </c>
      <c r="S16" s="662"/>
      <c r="T16" s="95">
        <f t="shared" si="4"/>
        <v>0</v>
      </c>
      <c r="U16" s="472">
        <f t="shared" si="5"/>
        <v>0</v>
      </c>
    </row>
    <row r="17" spans="1:21" x14ac:dyDescent="0.25">
      <c r="A17" s="593" t="s">
        <v>23</v>
      </c>
      <c r="B17" s="593"/>
      <c r="C17" s="143">
        <v>5</v>
      </c>
      <c r="D17" s="143">
        <v>5</v>
      </c>
      <c r="E17" s="116">
        <f t="shared" si="1"/>
        <v>10</v>
      </c>
      <c r="F17" s="678">
        <f>'1461'!F17:G17</f>
        <v>1</v>
      </c>
      <c r="G17" s="678"/>
      <c r="H17" s="80">
        <f t="shared" si="2"/>
        <v>10</v>
      </c>
      <c r="I17" s="101">
        <f t="shared" si="3"/>
        <v>55484.84</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3.84</v>
      </c>
      <c r="D26" s="143">
        <v>3.45</v>
      </c>
      <c r="E26" s="116">
        <f t="shared" si="1"/>
        <v>7.29</v>
      </c>
      <c r="F26" s="678">
        <f>'1461'!F26:G26</f>
        <v>1.1919999999999999</v>
      </c>
      <c r="G26" s="678"/>
      <c r="H26" s="80">
        <f t="shared" si="2"/>
        <v>8.6897000000000002</v>
      </c>
      <c r="I26" s="101">
        <f t="shared" si="3"/>
        <v>48214.66</v>
      </c>
      <c r="N26" s="616" t="s">
        <v>85</v>
      </c>
      <c r="O26" s="616"/>
      <c r="P26" s="657">
        <f t="shared" si="0"/>
        <v>0</v>
      </c>
      <c r="Q26" s="657"/>
      <c r="R26" s="662">
        <v>1</v>
      </c>
      <c r="S26" s="662"/>
      <c r="T26" s="95">
        <f t="shared" si="4"/>
        <v>0</v>
      </c>
      <c r="U26" s="472">
        <f t="shared" si="5"/>
        <v>0</v>
      </c>
    </row>
    <row r="27" spans="1:21" x14ac:dyDescent="0.25">
      <c r="A27" s="593" t="s">
        <v>86</v>
      </c>
      <c r="B27" s="593"/>
      <c r="C27" s="143">
        <v>2.67</v>
      </c>
      <c r="D27" s="143">
        <v>1.91</v>
      </c>
      <c r="E27" s="116">
        <f t="shared" si="1"/>
        <v>4.58</v>
      </c>
      <c r="F27" s="678">
        <f>'1461'!F27:G27</f>
        <v>1.1919999999999999</v>
      </c>
      <c r="G27" s="678"/>
      <c r="H27" s="80">
        <f t="shared" si="2"/>
        <v>5.4593999999999996</v>
      </c>
      <c r="I27" s="101">
        <f t="shared" si="3"/>
        <v>30291.39</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68</v>
      </c>
      <c r="D30" s="94">
        <f>SUM(D14:D29)</f>
        <v>54.480000000000004</v>
      </c>
      <c r="E30" s="94">
        <f>SUM(E14:E29)</f>
        <v>122.48</v>
      </c>
      <c r="F30" s="597"/>
      <c r="G30" s="597"/>
      <c r="H30" s="99">
        <f>SUM(H14:H29)</f>
        <v>130.38890000000001</v>
      </c>
      <c r="I30" s="94">
        <f>SUM(I14:I29)</f>
        <v>723460.72000000009</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130.38890000000001</v>
      </c>
      <c r="F46" s="34"/>
      <c r="G46" s="106"/>
      <c r="H46" s="107" t="s">
        <v>98</v>
      </c>
      <c r="I46" s="94">
        <f>SUM(I44,I30)</f>
        <v>723460.72000000009</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723460.72000000009</v>
      </c>
      <c r="G51" s="109" t="s">
        <v>6</v>
      </c>
      <c r="H51" s="400">
        <v>5.5899999999999998E-2</v>
      </c>
      <c r="I51" s="101">
        <f>ROUND(F51*H51,2)</f>
        <v>40441.449999999997</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723460.72000000009</v>
      </c>
      <c r="G52" s="109" t="s">
        <v>6</v>
      </c>
      <c r="H52" s="400">
        <v>1.0699999999999999E-2</v>
      </c>
      <c r="I52" s="101">
        <f>ROUND(F52*H52,2)</f>
        <v>7741.03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48182.479999999996</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2</v>
      </c>
      <c r="D57" s="143">
        <v>1</v>
      </c>
      <c r="E57" s="116">
        <f t="shared" ref="E57:E65" si="10">IF(D$66=0,C57*2,C57+D57)</f>
        <v>3</v>
      </c>
      <c r="F57" s="442" t="s">
        <v>437</v>
      </c>
      <c r="G57" s="442">
        <v>251</v>
      </c>
      <c r="H57" s="456">
        <f>'1461'!H57</f>
        <v>1047</v>
      </c>
      <c r="I57" s="101">
        <f>ROUND(E57*H57,2)</f>
        <v>3141</v>
      </c>
      <c r="N57" s="633" t="s">
        <v>445</v>
      </c>
      <c r="O57" s="633"/>
      <c r="P57" s="636"/>
      <c r="Q57" s="636"/>
      <c r="R57" s="448" t="s">
        <v>437</v>
      </c>
      <c r="S57" s="448">
        <v>251</v>
      </c>
      <c r="T57" s="459">
        <f>H57</f>
        <v>1047</v>
      </c>
      <c r="U57" s="473">
        <f>ROUND(P57*T57,2)</f>
        <v>0</v>
      </c>
      <c r="V57" s="423"/>
    </row>
    <row r="58" spans="1:22" x14ac:dyDescent="0.25">
      <c r="A58" s="604"/>
      <c r="B58" s="604"/>
      <c r="C58" s="143">
        <v>0.5</v>
      </c>
      <c r="D58" s="143">
        <v>0.5</v>
      </c>
      <c r="E58" s="116">
        <f t="shared" si="10"/>
        <v>1</v>
      </c>
      <c r="F58" s="442" t="s">
        <v>437</v>
      </c>
      <c r="G58" s="442">
        <v>252</v>
      </c>
      <c r="H58" s="456">
        <f>'1461'!H58</f>
        <v>3380</v>
      </c>
      <c r="I58" s="101">
        <f t="shared" ref="I58:I65" si="11">ROUND(E58*H58,2)</f>
        <v>3380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3.5</v>
      </c>
      <c r="D60" s="143">
        <v>3.98</v>
      </c>
      <c r="E60" s="116">
        <f t="shared" si="10"/>
        <v>7.48</v>
      </c>
      <c r="F60" s="443" t="s">
        <v>13</v>
      </c>
      <c r="G60" s="442">
        <v>251</v>
      </c>
      <c r="H60" s="456">
        <f>'1461'!H60</f>
        <v>1173</v>
      </c>
      <c r="I60" s="101">
        <f t="shared" si="11"/>
        <v>8774.0400000000009</v>
      </c>
      <c r="N60" s="634"/>
      <c r="O60" s="634"/>
      <c r="P60" s="637"/>
      <c r="Q60" s="637"/>
      <c r="R60" s="40" t="s">
        <v>13</v>
      </c>
      <c r="S60" s="448">
        <v>251</v>
      </c>
      <c r="T60" s="459">
        <f t="shared" si="12"/>
        <v>1173</v>
      </c>
      <c r="U60" s="473">
        <f t="shared" si="13"/>
        <v>0</v>
      </c>
      <c r="V60" s="423"/>
    </row>
    <row r="61" spans="1:22" x14ac:dyDescent="0.25">
      <c r="A61" s="604"/>
      <c r="B61" s="604"/>
      <c r="C61" s="143">
        <v>1.5</v>
      </c>
      <c r="D61" s="143">
        <v>1.02</v>
      </c>
      <c r="E61" s="116">
        <f t="shared" si="10"/>
        <v>2.52</v>
      </c>
      <c r="F61" s="443" t="s">
        <v>13</v>
      </c>
      <c r="G61" s="442">
        <v>252</v>
      </c>
      <c r="H61" s="456">
        <f>'1461'!H61</f>
        <v>3506</v>
      </c>
      <c r="I61" s="101">
        <f t="shared" si="11"/>
        <v>8835.1200000000008</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7.5</v>
      </c>
      <c r="D66" s="97">
        <f>SUM(D57:D65)</f>
        <v>6.5</v>
      </c>
      <c r="E66" s="97">
        <f>SUM(E57:E65)</f>
        <v>14</v>
      </c>
      <c r="F66" s="605" t="s">
        <v>446</v>
      </c>
      <c r="G66" s="605"/>
      <c r="H66" s="605"/>
      <c r="I66" s="97">
        <f>SUM(I57:I65)</f>
        <v>24130.160000000003</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122.48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5.8299999999999997E-4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130.38890000000001</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5.5500000000000005E-4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122.48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6.5300000000000004E-4</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122.48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5.8399999999999999E-4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122.48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6.5399999999999996E-4</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5.8399999999999999E-4</v>
      </c>
      <c r="I85" s="101">
        <f>ROUND(F85*H85,2)</f>
        <v>26959.599999999999</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5.8299999999999997E-4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6.5399999999999996E-4</v>
      </c>
      <c r="I90" s="101">
        <f>ROUND(F90*H90,2)</f>
        <v>12453.49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6.5300000000000004E-4</v>
      </c>
      <c r="I92" s="101">
        <f t="shared" ref="I92:I96" si="14">ROUND(F92*H92,2)</f>
        <v>7471.07</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5.5500000000000005E-4</v>
      </c>
      <c r="I94" s="101">
        <f t="shared" si="14"/>
        <v>141945.03</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5.5500000000000005E-4</v>
      </c>
      <c r="I96" s="101">
        <f t="shared" si="14"/>
        <v>-879.99</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5.8299999999999997E-4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62.029500000000006</v>
      </c>
      <c r="D104" s="611"/>
      <c r="E104" s="46">
        <f>H8</f>
        <v>1.0407999999999999</v>
      </c>
      <c r="F104" s="302">
        <f>'1461'!F104</f>
        <v>950.92</v>
      </c>
      <c r="G104" s="39" t="s">
        <v>12</v>
      </c>
      <c r="H104" s="101">
        <f>ROUND(C104*E104*F104,2)</f>
        <v>61391.68</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68.359399999999994</v>
      </c>
      <c r="D105" s="611"/>
      <c r="E105" s="46">
        <f>H8</f>
        <v>1.0407999999999999</v>
      </c>
      <c r="F105" s="302">
        <f>'1461'!F105</f>
        <v>907.92</v>
      </c>
      <c r="G105" s="39" t="s">
        <v>12</v>
      </c>
      <c r="H105" s="101">
        <f>ROUND(C105*E105*F105,2)</f>
        <v>64597.11</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130.38890000000001</v>
      </c>
      <c r="D107" s="601"/>
      <c r="E107" s="123"/>
      <c r="F107" s="123"/>
      <c r="G107" s="123"/>
      <c r="H107" s="124" t="s">
        <v>100</v>
      </c>
      <c r="I107" s="101">
        <f>IF(A1=75,0,H106+H105+H104)</f>
        <v>125988.79000000001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44">
        <f>(C113+D113)/2</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1061528.8700000001</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1013346.3900000001</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1013346.3900000001</v>
      </c>
      <c r="I135" s="94">
        <f>ROUND(IF(E30=0,0,IF(E30&gt;250,-(((250/E30)*H135)*IF(G135="H",0.02,0.05)),IF(G135="H",-0.02*H135,-0.05*H135))),2)</f>
        <v>-50667.32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1010861.5500000002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1010861.5500000002</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22:B122"/>
    <mergeCell ref="F122:G122"/>
    <mergeCell ref="N122:O122"/>
    <mergeCell ref="P122:Q122"/>
    <mergeCell ref="R122:S122"/>
    <mergeCell ref="A123:B123"/>
    <mergeCell ref="F123:G123"/>
    <mergeCell ref="N123:O123"/>
    <mergeCell ref="P123:Q123"/>
    <mergeCell ref="R123:S123"/>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305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184.72</v>
      </c>
      <c r="D16" s="143">
        <v>180.11</v>
      </c>
      <c r="E16" s="116">
        <f t="shared" si="1"/>
        <v>364.83000000000004</v>
      </c>
      <c r="F16" s="678">
        <f>'1461'!F16:G16</f>
        <v>1</v>
      </c>
      <c r="G16" s="678"/>
      <c r="H16" s="80">
        <f t="shared" si="2"/>
        <v>364.83</v>
      </c>
      <c r="I16" s="101">
        <f t="shared" si="3"/>
        <v>2024253.41</v>
      </c>
      <c r="N16" s="616" t="s">
        <v>22</v>
      </c>
      <c r="O16" s="616"/>
      <c r="P16" s="657">
        <f t="shared" si="0"/>
        <v>0</v>
      </c>
      <c r="Q16" s="657"/>
      <c r="R16" s="662">
        <v>1</v>
      </c>
      <c r="S16" s="662"/>
      <c r="T16" s="95">
        <f t="shared" si="4"/>
        <v>0</v>
      </c>
      <c r="U16" s="472">
        <f t="shared" si="5"/>
        <v>0</v>
      </c>
    </row>
    <row r="17" spans="1:21" x14ac:dyDescent="0.25">
      <c r="A17" s="593" t="s">
        <v>23</v>
      </c>
      <c r="B17" s="593"/>
      <c r="C17" s="143">
        <v>27.5</v>
      </c>
      <c r="D17" s="143">
        <v>29.01</v>
      </c>
      <c r="E17" s="116">
        <f t="shared" si="1"/>
        <v>56.510000000000005</v>
      </c>
      <c r="F17" s="678">
        <f>'1461'!F17:G17</f>
        <v>1</v>
      </c>
      <c r="G17" s="678"/>
      <c r="H17" s="80">
        <f t="shared" si="2"/>
        <v>56.51</v>
      </c>
      <c r="I17" s="101">
        <f t="shared" si="3"/>
        <v>313544.83</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171.42</v>
      </c>
      <c r="D18" s="143">
        <v>173.23</v>
      </c>
      <c r="E18" s="116">
        <f t="shared" si="1"/>
        <v>344.65</v>
      </c>
      <c r="F18" s="678">
        <f>'1461'!F18:G18</f>
        <v>0.97799999999999998</v>
      </c>
      <c r="G18" s="678"/>
      <c r="H18" s="80">
        <f t="shared" si="2"/>
        <v>337.0677</v>
      </c>
      <c r="I18" s="101">
        <f t="shared" si="3"/>
        <v>1870214.73</v>
      </c>
      <c r="N18" s="616" t="s">
        <v>24</v>
      </c>
      <c r="O18" s="616"/>
      <c r="P18" s="657">
        <f t="shared" si="0"/>
        <v>0</v>
      </c>
      <c r="Q18" s="657"/>
      <c r="R18" s="662">
        <v>1</v>
      </c>
      <c r="S18" s="662"/>
      <c r="T18" s="95">
        <f t="shared" si="4"/>
        <v>0</v>
      </c>
      <c r="U18" s="472">
        <f t="shared" si="5"/>
        <v>0</v>
      </c>
    </row>
    <row r="19" spans="1:21" x14ac:dyDescent="0.25">
      <c r="A19" s="593" t="s">
        <v>25</v>
      </c>
      <c r="B19" s="593"/>
      <c r="C19" s="143">
        <v>23</v>
      </c>
      <c r="D19" s="143">
        <v>24</v>
      </c>
      <c r="E19" s="116">
        <f t="shared" si="1"/>
        <v>47</v>
      </c>
      <c r="F19" s="678">
        <f>'1461'!F19:G19</f>
        <v>0.97799999999999998</v>
      </c>
      <c r="G19" s="678"/>
      <c r="H19" s="80">
        <f t="shared" si="2"/>
        <v>45.966000000000001</v>
      </c>
      <c r="I19" s="101">
        <f t="shared" si="3"/>
        <v>255041.61</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36.840000000000003</v>
      </c>
      <c r="D27" s="143">
        <v>39.72</v>
      </c>
      <c r="E27" s="116">
        <f t="shared" si="1"/>
        <v>76.56</v>
      </c>
      <c r="F27" s="678">
        <f>'1461'!F27:G27</f>
        <v>1.1919999999999999</v>
      </c>
      <c r="G27" s="678"/>
      <c r="H27" s="80">
        <f t="shared" si="2"/>
        <v>91.259500000000003</v>
      </c>
      <c r="I27" s="101">
        <f t="shared" si="3"/>
        <v>506351.87</v>
      </c>
      <c r="N27" s="616" t="s">
        <v>86</v>
      </c>
      <c r="O27" s="616"/>
      <c r="P27" s="657">
        <f t="shared" si="0"/>
        <v>0</v>
      </c>
      <c r="Q27" s="657"/>
      <c r="R27" s="662">
        <v>1</v>
      </c>
      <c r="S27" s="662"/>
      <c r="T27" s="95">
        <f t="shared" si="4"/>
        <v>0</v>
      </c>
      <c r="U27" s="472">
        <f t="shared" si="5"/>
        <v>0</v>
      </c>
    </row>
    <row r="28" spans="1:21" x14ac:dyDescent="0.25">
      <c r="A28" s="593" t="s">
        <v>87</v>
      </c>
      <c r="B28" s="593"/>
      <c r="C28" s="143">
        <v>43.42</v>
      </c>
      <c r="D28" s="143">
        <v>44.33</v>
      </c>
      <c r="E28" s="116">
        <f t="shared" si="1"/>
        <v>87.75</v>
      </c>
      <c r="F28" s="678">
        <f>'1461'!F28:G28</f>
        <v>1.1919999999999999</v>
      </c>
      <c r="G28" s="678"/>
      <c r="H28" s="80">
        <f t="shared" si="2"/>
        <v>104.598</v>
      </c>
      <c r="I28" s="101">
        <f t="shared" si="3"/>
        <v>580360.32999999996</v>
      </c>
      <c r="N28" s="616" t="s">
        <v>87</v>
      </c>
      <c r="O28" s="616"/>
      <c r="P28" s="657">
        <f t="shared" si="0"/>
        <v>0</v>
      </c>
      <c r="Q28" s="657"/>
      <c r="R28" s="662">
        <v>1</v>
      </c>
      <c r="S28" s="662"/>
      <c r="T28" s="95">
        <f t="shared" si="4"/>
        <v>0</v>
      </c>
      <c r="U28" s="472">
        <f t="shared" si="5"/>
        <v>0</v>
      </c>
    </row>
    <row r="29" spans="1:21" x14ac:dyDescent="0.25">
      <c r="A29" s="593" t="s">
        <v>88</v>
      </c>
      <c r="B29" s="593"/>
      <c r="C29" s="110">
        <v>26.53</v>
      </c>
      <c r="D29" s="110">
        <v>29.92</v>
      </c>
      <c r="E29" s="154">
        <f t="shared" si="1"/>
        <v>56.45</v>
      </c>
      <c r="F29" s="678">
        <f>'1461'!F29:G29</f>
        <v>1.079</v>
      </c>
      <c r="G29" s="678"/>
      <c r="H29" s="93">
        <f t="shared" si="2"/>
        <v>60.909599999999998</v>
      </c>
      <c r="I29" s="94">
        <f t="shared" si="3"/>
        <v>337955.94</v>
      </c>
      <c r="N29" s="631" t="s">
        <v>88</v>
      </c>
      <c r="O29" s="631"/>
      <c r="P29" s="657">
        <f t="shared" si="0"/>
        <v>0</v>
      </c>
      <c r="Q29" s="657"/>
      <c r="R29" s="658">
        <v>1</v>
      </c>
      <c r="S29" s="658"/>
      <c r="T29" s="95">
        <f t="shared" si="4"/>
        <v>0</v>
      </c>
      <c r="U29" s="472">
        <f t="shared" si="5"/>
        <v>0</v>
      </c>
    </row>
    <row r="30" spans="1:21" x14ac:dyDescent="0.25">
      <c r="A30" s="605" t="s">
        <v>5</v>
      </c>
      <c r="B30" s="605"/>
      <c r="C30" s="94">
        <f>SUM(C14:C29)</f>
        <v>513.43000000000006</v>
      </c>
      <c r="D30" s="94">
        <f>SUM(D14:D29)</f>
        <v>520.32000000000005</v>
      </c>
      <c r="E30" s="94">
        <f>SUM(E14:E29)</f>
        <v>1033.75</v>
      </c>
      <c r="F30" s="597"/>
      <c r="G30" s="597"/>
      <c r="H30" s="99">
        <f>SUM(H14:H29)</f>
        <v>1061.1407999999999</v>
      </c>
      <c r="I30" s="94">
        <f>SUM(I14:I29)</f>
        <v>5887722.7200000007</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1061.1407999999999</v>
      </c>
      <c r="F46" s="34"/>
      <c r="G46" s="106"/>
      <c r="H46" s="107" t="s">
        <v>98</v>
      </c>
      <c r="I46" s="94">
        <f>SUM(I44,I30)</f>
        <v>5887722.7200000007</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5887722.7200000007</v>
      </c>
      <c r="G51" s="109" t="s">
        <v>6</v>
      </c>
      <c r="H51" s="400">
        <v>5.5899999999999998E-2</v>
      </c>
      <c r="I51" s="101">
        <f>ROUND(F51*H51,2)</f>
        <v>329123.7</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5887722.7200000007</v>
      </c>
      <c r="G52" s="109" t="s">
        <v>6</v>
      </c>
      <c r="H52" s="400">
        <v>1.0699999999999999E-2</v>
      </c>
      <c r="I52" s="101">
        <f>ROUND(F52*H52,2)</f>
        <v>62998.63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392122.33</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25</v>
      </c>
      <c r="D60" s="143">
        <v>26.01</v>
      </c>
      <c r="E60" s="116">
        <f t="shared" si="10"/>
        <v>51.010000000000005</v>
      </c>
      <c r="F60" s="443" t="s">
        <v>13</v>
      </c>
      <c r="G60" s="442">
        <v>251</v>
      </c>
      <c r="H60" s="456">
        <f>'1461'!H60</f>
        <v>1173</v>
      </c>
      <c r="I60" s="101">
        <f t="shared" si="11"/>
        <v>59834.73</v>
      </c>
      <c r="N60" s="634"/>
      <c r="O60" s="634"/>
      <c r="P60" s="637"/>
      <c r="Q60" s="637"/>
      <c r="R60" s="40" t="s">
        <v>13</v>
      </c>
      <c r="S60" s="448">
        <v>251</v>
      </c>
      <c r="T60" s="459">
        <f t="shared" si="12"/>
        <v>1173</v>
      </c>
      <c r="U60" s="473">
        <f t="shared" si="13"/>
        <v>0</v>
      </c>
      <c r="V60" s="423"/>
    </row>
    <row r="61" spans="1:22" x14ac:dyDescent="0.25">
      <c r="A61" s="604"/>
      <c r="B61" s="604"/>
      <c r="C61" s="143">
        <v>2.5</v>
      </c>
      <c r="D61" s="143">
        <v>3</v>
      </c>
      <c r="E61" s="116">
        <f t="shared" si="10"/>
        <v>5.5</v>
      </c>
      <c r="F61" s="443" t="s">
        <v>13</v>
      </c>
      <c r="G61" s="442">
        <v>252</v>
      </c>
      <c r="H61" s="456">
        <f>'1461'!H61</f>
        <v>3506</v>
      </c>
      <c r="I61" s="101">
        <f t="shared" si="11"/>
        <v>19283</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19.5</v>
      </c>
      <c r="D63" s="143">
        <v>20.41</v>
      </c>
      <c r="E63" s="116">
        <f t="shared" si="10"/>
        <v>39.909999999999997</v>
      </c>
      <c r="F63" s="443" t="s">
        <v>14</v>
      </c>
      <c r="G63" s="442">
        <v>251</v>
      </c>
      <c r="H63" s="456">
        <f>'1461'!H63</f>
        <v>835</v>
      </c>
      <c r="I63" s="101">
        <f t="shared" si="11"/>
        <v>33324.85</v>
      </c>
      <c r="N63" s="634"/>
      <c r="O63" s="634"/>
      <c r="P63" s="637"/>
      <c r="Q63" s="637"/>
      <c r="R63" s="40" t="s">
        <v>14</v>
      </c>
      <c r="S63" s="448">
        <v>251</v>
      </c>
      <c r="T63" s="459">
        <f t="shared" si="12"/>
        <v>835</v>
      </c>
      <c r="U63" s="473">
        <f t="shared" si="13"/>
        <v>0</v>
      </c>
      <c r="V63" s="423"/>
    </row>
    <row r="64" spans="1:22" x14ac:dyDescent="0.25">
      <c r="A64" s="604"/>
      <c r="B64" s="604"/>
      <c r="C64" s="143">
        <v>3.5</v>
      </c>
      <c r="D64" s="143">
        <v>3.59</v>
      </c>
      <c r="E64" s="116">
        <f t="shared" si="10"/>
        <v>7.09</v>
      </c>
      <c r="F64" s="443" t="s">
        <v>14</v>
      </c>
      <c r="G64" s="442">
        <v>252</v>
      </c>
      <c r="H64" s="456">
        <f>'1461'!H64</f>
        <v>3168</v>
      </c>
      <c r="I64" s="101">
        <f t="shared" si="11"/>
        <v>22461.119999999999</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50.5</v>
      </c>
      <c r="D66" s="97">
        <f>SUM(D57:D65)</f>
        <v>53.010000000000005</v>
      </c>
      <c r="E66" s="97">
        <f>SUM(E57:E65)</f>
        <v>103.51</v>
      </c>
      <c r="F66" s="605" t="s">
        <v>446</v>
      </c>
      <c r="G66" s="605"/>
      <c r="H66" s="605"/>
      <c r="I66" s="97">
        <f>SUM(I57:I65)</f>
        <v>134903.70000000001</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1033.75</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4.9170000000000004E-3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1061.1407999999999</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4.5180000000000003E-3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1033.75</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5.5079999999999999E-3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1033.75</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4.9249999999999997E-3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1033.75</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5.5180000000000003E-3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4.9249999999999997E-3</v>
      </c>
      <c r="I85" s="101">
        <f>ROUND(F85*H85,2)</f>
        <v>227356.24</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4.9170000000000004E-3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5.5180000000000003E-3</v>
      </c>
      <c r="I90" s="101">
        <f>ROUND(F90*H90,2)</f>
        <v>105073.9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5.5079999999999999E-3</v>
      </c>
      <c r="I92" s="101">
        <f t="shared" ref="I92:I96" si="14">ROUND(F92*H92,2)</f>
        <v>63017.86</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4.5180000000000003E-3</v>
      </c>
      <c r="I94" s="101">
        <f t="shared" si="14"/>
        <v>1155509.29</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4.5180000000000003E-3</v>
      </c>
      <c r="I96" s="101">
        <f t="shared" si="14"/>
        <v>-7163.56</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4.9170000000000004E-3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512.59950000000003</v>
      </c>
      <c r="D105" s="611"/>
      <c r="E105" s="46">
        <f>H8</f>
        <v>1.0407999999999999</v>
      </c>
      <c r="F105" s="302">
        <f>'1461'!F105</f>
        <v>907.92</v>
      </c>
      <c r="G105" s="39" t="s">
        <v>12</v>
      </c>
      <c r="H105" s="101">
        <f>ROUND(C105*E105*F105,2)</f>
        <v>484387.63</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548.54129999999998</v>
      </c>
      <c r="D106" s="611"/>
      <c r="E106" s="46">
        <f>H8</f>
        <v>1.0407999999999999</v>
      </c>
      <c r="F106" s="302">
        <f>'1461'!F106</f>
        <v>910.12</v>
      </c>
      <c r="G106" s="39" t="s">
        <v>12</v>
      </c>
      <c r="H106" s="94">
        <f>ROUND(C106*E106*F106,2)</f>
        <v>519607.34</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1061.1408000000001</v>
      </c>
      <c r="D107" s="601"/>
      <c r="E107" s="123"/>
      <c r="F107" s="123"/>
      <c r="G107" s="123"/>
      <c r="H107" s="124" t="s">
        <v>100</v>
      </c>
      <c r="I107" s="101">
        <f>IF(A1=75,0,H106+H105+H104)</f>
        <v>1003994.97</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7</v>
      </c>
      <c r="D113" s="143">
        <v>1</v>
      </c>
      <c r="E113" s="144">
        <f>(C113+D113)/2</f>
        <v>4</v>
      </c>
      <c r="F113" s="126" t="s">
        <v>30</v>
      </c>
      <c r="G113" s="303">
        <f>'1461'!G113</f>
        <v>567</v>
      </c>
      <c r="I113" s="101">
        <f>ROUND(G113*E113,2)</f>
        <v>2268</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8572683.1200000029</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8180560.7900000028</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8180560.7900000028</v>
      </c>
      <c r="I135" s="94">
        <f>ROUND(IF(E30=0,0,IF(E30&gt;250,-(((250/E30)*H135)*IF(G135="H",0.02,0.05)),IF(G135="H",-0.02*H135,-0.05*H135))),2)</f>
        <v>-98918.51</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8473764.6100000031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-1409875.16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7063889.450000003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706388.95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310109.53000000003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253</v>
      </c>
      <c r="B2" s="2"/>
      <c r="C2" s="2"/>
      <c r="D2" s="2"/>
      <c r="E2" s="2"/>
      <c r="F2" s="2"/>
      <c r="G2" s="2"/>
      <c r="H2" s="2"/>
      <c r="I2" s="2"/>
      <c r="N2" s="675" t="s">
        <v>18</v>
      </c>
      <c r="O2" s="675"/>
      <c r="P2" s="675"/>
      <c r="Q2" s="675"/>
      <c r="R2" s="675"/>
      <c r="S2" s="675"/>
      <c r="T2" s="675"/>
      <c r="U2" s="675"/>
    </row>
    <row r="3" spans="1:21" x14ac:dyDescent="0.25">
      <c r="A3" s="253" t="s">
        <v>511</v>
      </c>
      <c r="N3" s="642" t="str">
        <f>A3</f>
        <v>Based on the FLDOE 2024-25 Second Calculation</v>
      </c>
      <c r="O3" s="642"/>
      <c r="P3" s="642"/>
      <c r="Q3" s="642"/>
      <c r="R3" s="642"/>
      <c r="S3" s="642"/>
      <c r="T3" s="642"/>
      <c r="U3" s="642"/>
    </row>
    <row r="4" spans="1:21" x14ac:dyDescent="0.25">
      <c r="A4" s="583" t="s">
        <v>0</v>
      </c>
      <c r="B4" s="583"/>
      <c r="C4" s="584" t="s">
        <v>9</v>
      </c>
      <c r="D4" s="584"/>
      <c r="E4" s="584"/>
      <c r="F4" s="314" t="s">
        <v>516</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v>5330.98</v>
      </c>
      <c r="D8" s="86"/>
      <c r="E8" s="87"/>
      <c r="F8" s="84"/>
      <c r="G8" s="85" t="s">
        <v>393</v>
      </c>
      <c r="H8" s="286">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v>1</v>
      </c>
      <c r="I9" s="75"/>
      <c r="N9" s="12"/>
      <c r="O9" s="12"/>
      <c r="P9" s="13"/>
      <c r="Q9" s="13"/>
      <c r="R9" s="383" t="s">
        <v>392</v>
      </c>
      <c r="S9" s="383"/>
      <c r="T9" s="665">
        <f>H9</f>
        <v>1</v>
      </c>
      <c r="U9" s="665"/>
    </row>
    <row r="10" spans="1:21" x14ac:dyDescent="0.25">
      <c r="A10" s="7"/>
      <c r="B10" s="7" t="s">
        <v>310</v>
      </c>
      <c r="C10" s="8" t="s">
        <v>310</v>
      </c>
      <c r="D10" s="8" t="s">
        <v>310</v>
      </c>
      <c r="E10" s="8"/>
      <c r="F10" s="9"/>
      <c r="G10" s="9"/>
      <c r="H10" s="10"/>
      <c r="I10" s="324" t="s">
        <v>509</v>
      </c>
      <c r="N10" s="12"/>
      <c r="O10" s="12"/>
      <c r="P10" s="13"/>
      <c r="Q10" s="13"/>
      <c r="R10" s="14"/>
      <c r="S10" s="14"/>
      <c r="T10" s="15"/>
      <c r="U10" s="365" t="str">
        <f>I10</f>
        <v>2024-25</v>
      </c>
    </row>
    <row r="11" spans="1:21" x14ac:dyDescent="0.25">
      <c r="A11" s="7"/>
      <c r="B11" s="7"/>
      <c r="C11" s="88" t="s">
        <v>492</v>
      </c>
      <c r="D11" s="332" t="s">
        <v>493</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36" t="s">
        <v>1</v>
      </c>
      <c r="B12" s="36"/>
      <c r="C12" s="323" t="s">
        <v>2</v>
      </c>
      <c r="D12" s="323" t="s">
        <v>2</v>
      </c>
      <c r="E12" s="90"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271.22000000000003</v>
      </c>
      <c r="D18" s="143">
        <v>263.02999999999997</v>
      </c>
      <c r="E18" s="116">
        <f>IF(D$30=0,C18*2,C18+D18)</f>
        <v>534.25</v>
      </c>
      <c r="F18" s="678">
        <v>0.97799999999999998</v>
      </c>
      <c r="G18" s="678"/>
      <c r="H18" s="80">
        <f t="shared" si="2"/>
        <v>522.49649999999997</v>
      </c>
      <c r="I18" s="101">
        <f t="shared" si="3"/>
        <v>2899063.46</v>
      </c>
      <c r="N18" s="616" t="s">
        <v>24</v>
      </c>
      <c r="O18" s="616"/>
      <c r="P18" s="657">
        <f t="shared" si="0"/>
        <v>0</v>
      </c>
      <c r="Q18" s="657"/>
      <c r="R18" s="662">
        <v>1</v>
      </c>
      <c r="S18" s="662"/>
      <c r="T18" s="95">
        <f t="shared" si="4"/>
        <v>0</v>
      </c>
      <c r="U18" s="472">
        <f t="shared" si="5"/>
        <v>0</v>
      </c>
    </row>
    <row r="19" spans="1:21" x14ac:dyDescent="0.25">
      <c r="A19" s="593" t="s">
        <v>25</v>
      </c>
      <c r="B19" s="593"/>
      <c r="C19" s="143">
        <v>37.85</v>
      </c>
      <c r="D19" s="143">
        <v>36.86</v>
      </c>
      <c r="E19" s="116">
        <f t="shared" si="1"/>
        <v>74.710000000000008</v>
      </c>
      <c r="F19" s="678">
        <v>0.97799999999999998</v>
      </c>
      <c r="G19" s="678"/>
      <c r="H19" s="80">
        <f t="shared" si="2"/>
        <v>73.066400000000002</v>
      </c>
      <c r="I19" s="101">
        <f t="shared" si="3"/>
        <v>405407.75</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c r="D20" s="143">
        <v>0</v>
      </c>
      <c r="E20" s="116">
        <f t="shared" si="1"/>
        <v>0</v>
      </c>
      <c r="F20" s="678">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c r="D21" s="143">
        <v>0</v>
      </c>
      <c r="E21" s="116">
        <f t="shared" si="1"/>
        <v>0</v>
      </c>
      <c r="F21" s="678">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c r="D22" s="143">
        <v>0</v>
      </c>
      <c r="E22" s="116">
        <f t="shared" si="1"/>
        <v>0</v>
      </c>
      <c r="F22" s="678">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c r="D23" s="143">
        <v>0</v>
      </c>
      <c r="E23" s="116">
        <f t="shared" si="1"/>
        <v>0</v>
      </c>
      <c r="F23" s="678">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c r="D24" s="143">
        <v>0</v>
      </c>
      <c r="E24" s="116">
        <f t="shared" si="1"/>
        <v>0</v>
      </c>
      <c r="F24" s="678">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c r="D25" s="143">
        <v>0</v>
      </c>
      <c r="E25" s="116">
        <f t="shared" si="1"/>
        <v>0</v>
      </c>
      <c r="F25" s="678">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v>1.1919999999999999</v>
      </c>
      <c r="G26" s="678"/>
      <c r="H26" s="80">
        <f t="shared" si="2"/>
        <v>0</v>
      </c>
      <c r="I26" s="101">
        <f t="shared" si="3"/>
        <v>0</v>
      </c>
      <c r="L26" s="250"/>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v>1.1919999999999999</v>
      </c>
      <c r="G27" s="678"/>
      <c r="H27" s="80">
        <f t="shared" si="2"/>
        <v>0</v>
      </c>
      <c r="I27" s="101">
        <f t="shared" si="3"/>
        <v>0</v>
      </c>
      <c r="L27" s="250"/>
      <c r="N27" s="616" t="s">
        <v>86</v>
      </c>
      <c r="O27" s="616"/>
      <c r="P27" s="657">
        <f t="shared" si="0"/>
        <v>0</v>
      </c>
      <c r="Q27" s="657"/>
      <c r="R27" s="662">
        <v>1</v>
      </c>
      <c r="S27" s="662"/>
      <c r="T27" s="95">
        <f t="shared" si="4"/>
        <v>0</v>
      </c>
      <c r="U27" s="472">
        <f t="shared" si="5"/>
        <v>0</v>
      </c>
    </row>
    <row r="28" spans="1:21" x14ac:dyDescent="0.25">
      <c r="A28" s="593" t="s">
        <v>87</v>
      </c>
      <c r="B28" s="593"/>
      <c r="C28" s="143">
        <v>2.9</v>
      </c>
      <c r="D28" s="143">
        <v>2.4700000000000002</v>
      </c>
      <c r="E28" s="116">
        <f t="shared" si="1"/>
        <v>5.37</v>
      </c>
      <c r="F28" s="678">
        <v>1.1919999999999999</v>
      </c>
      <c r="G28" s="678"/>
      <c r="H28" s="80">
        <f t="shared" si="2"/>
        <v>6.4009999999999998</v>
      </c>
      <c r="I28" s="101">
        <f t="shared" si="3"/>
        <v>35515.85</v>
      </c>
      <c r="N28" s="616" t="s">
        <v>87</v>
      </c>
      <c r="O28" s="616"/>
      <c r="P28" s="657">
        <f t="shared" si="0"/>
        <v>0</v>
      </c>
      <c r="Q28" s="657"/>
      <c r="R28" s="662">
        <v>1</v>
      </c>
      <c r="S28" s="662"/>
      <c r="T28" s="95">
        <f t="shared" si="4"/>
        <v>0</v>
      </c>
      <c r="U28" s="472">
        <f t="shared" si="5"/>
        <v>0</v>
      </c>
    </row>
    <row r="29" spans="1:21" x14ac:dyDescent="0.25">
      <c r="A29" s="593" t="s">
        <v>88</v>
      </c>
      <c r="B29" s="593"/>
      <c r="C29" s="110">
        <v>85.51</v>
      </c>
      <c r="D29" s="110">
        <v>82.93</v>
      </c>
      <c r="E29" s="154">
        <f t="shared" si="1"/>
        <v>168.44</v>
      </c>
      <c r="F29" s="678">
        <v>1.079</v>
      </c>
      <c r="G29" s="678"/>
      <c r="H29" s="93">
        <f t="shared" si="2"/>
        <v>181.74680000000001</v>
      </c>
      <c r="I29" s="94">
        <f t="shared" si="3"/>
        <v>1008419.21</v>
      </c>
      <c r="N29" s="631" t="s">
        <v>88</v>
      </c>
      <c r="O29" s="631"/>
      <c r="P29" s="657">
        <f t="shared" si="0"/>
        <v>0</v>
      </c>
      <c r="Q29" s="657"/>
      <c r="R29" s="658">
        <v>1</v>
      </c>
      <c r="S29" s="658"/>
      <c r="T29" s="95">
        <f t="shared" si="4"/>
        <v>0</v>
      </c>
      <c r="U29" s="472">
        <f t="shared" si="5"/>
        <v>0</v>
      </c>
    </row>
    <row r="30" spans="1:21" x14ac:dyDescent="0.25">
      <c r="A30" s="605" t="s">
        <v>5</v>
      </c>
      <c r="B30" s="605"/>
      <c r="C30" s="94">
        <f>SUM(C14:C29)</f>
        <v>397.48</v>
      </c>
      <c r="D30" s="94">
        <f>SUM(D14:D29)</f>
        <v>385.29</v>
      </c>
      <c r="E30" s="94">
        <f>SUM(E14:E29)</f>
        <v>782.77</v>
      </c>
      <c r="F30" s="597"/>
      <c r="G30" s="597"/>
      <c r="H30" s="99">
        <f>SUM(H14:H29)</f>
        <v>783.71069999999997</v>
      </c>
      <c r="I30" s="94">
        <f>SUM(I14:I29)</f>
        <v>4348406.2699999996</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252</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3" t="s">
        <v>233</v>
      </c>
      <c r="G34" s="683"/>
      <c r="H34" s="683"/>
      <c r="I34" s="101"/>
      <c r="N34" s="28"/>
      <c r="O34" s="28"/>
      <c r="P34" s="29"/>
      <c r="Q34" s="29"/>
      <c r="R34" s="30"/>
      <c r="S34" s="30"/>
      <c r="T34" s="102"/>
      <c r="U34" s="103"/>
    </row>
    <row r="35" spans="1:21" ht="15.6" hidden="1" customHeight="1" x14ac:dyDescent="0.25">
      <c r="A35" s="3"/>
      <c r="B35" s="69"/>
      <c r="C35" s="69"/>
      <c r="D35" s="69"/>
      <c r="E35" s="69"/>
      <c r="F35" s="683"/>
      <c r="G35" s="683"/>
      <c r="H35" s="683"/>
      <c r="I35" s="24" t="str">
        <f>I10</f>
        <v>2024-25</v>
      </c>
      <c r="N35" s="642" t="s">
        <v>26</v>
      </c>
      <c r="O35" s="642"/>
      <c r="P35" s="642"/>
      <c r="Q35" s="642"/>
      <c r="R35" s="642"/>
      <c r="S35" s="642"/>
      <c r="T35" s="642"/>
      <c r="U35" s="25" t="str">
        <f>I35</f>
        <v>2024-25</v>
      </c>
    </row>
    <row r="36" spans="1:21" hidden="1" x14ac:dyDescent="0.25">
      <c r="A36" s="26"/>
      <c r="B36" s="26"/>
      <c r="C36" s="88" t="s">
        <v>316</v>
      </c>
      <c r="D36" s="88"/>
      <c r="E36" s="89" t="s">
        <v>8</v>
      </c>
      <c r="F36" s="683"/>
      <c r="G36" s="683"/>
      <c r="H36" s="683"/>
      <c r="I36" s="24" t="s">
        <v>27</v>
      </c>
      <c r="N36" s="28"/>
      <c r="O36" s="28"/>
      <c r="P36" s="29"/>
      <c r="Q36" s="29"/>
      <c r="R36" s="30"/>
      <c r="S36" s="30"/>
      <c r="T36" s="102"/>
      <c r="U36" s="25" t="s">
        <v>27</v>
      </c>
    </row>
    <row r="37" spans="1:21" ht="26.25" hidden="1" x14ac:dyDescent="0.25">
      <c r="A37" s="587" t="s">
        <v>50</v>
      </c>
      <c r="B37" s="587"/>
      <c r="C37" s="323" t="s">
        <v>2</v>
      </c>
      <c r="D37" s="323"/>
      <c r="E37" s="90" t="s">
        <v>2</v>
      </c>
      <c r="F37" s="684"/>
      <c r="G37" s="684"/>
      <c r="H37" s="684"/>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783.71069999999997</v>
      </c>
      <c r="F46" s="34"/>
      <c r="G46" s="106"/>
      <c r="H46" s="107" t="s">
        <v>98</v>
      </c>
      <c r="I46" s="94">
        <f>SUM(I44,I30)</f>
        <v>4348406.2699999996</v>
      </c>
      <c r="N46" s="618" t="s">
        <v>44</v>
      </c>
      <c r="O46" s="618"/>
      <c r="P46" s="618"/>
      <c r="Q46" s="618"/>
      <c r="R46" s="35">
        <f>R44+T30</f>
        <v>0</v>
      </c>
      <c r="S46" s="632" t="s">
        <v>42</v>
      </c>
      <c r="T46" s="632"/>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1" t="s">
        <v>398</v>
      </c>
      <c r="F50" s="391"/>
      <c r="G50" s="392"/>
      <c r="H50" s="392"/>
      <c r="I50" s="393"/>
      <c r="N50" s="411" t="s">
        <v>398</v>
      </c>
      <c r="O50" s="394"/>
      <c r="P50" s="394"/>
      <c r="Q50" s="394"/>
      <c r="R50" s="395"/>
      <c r="S50" s="396"/>
      <c r="T50" s="396"/>
      <c r="U50" s="403"/>
    </row>
    <row r="51" spans="1:22" x14ac:dyDescent="0.25">
      <c r="A51" s="388"/>
      <c r="B51" s="3" t="s">
        <v>514</v>
      </c>
      <c r="C51" s="26"/>
      <c r="D51" s="26"/>
      <c r="E51" s="43" t="s">
        <v>399</v>
      </c>
      <c r="F51" s="399">
        <v>4348406.2699999996</v>
      </c>
      <c r="G51" s="109" t="s">
        <v>6</v>
      </c>
      <c r="H51" s="400">
        <v>5.5899999999999998E-2</v>
      </c>
      <c r="I51" s="101">
        <f>ROUND(F51*H51,2)</f>
        <v>243075.91</v>
      </c>
      <c r="N51" s="405"/>
      <c r="O51" s="51"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4348406.2699999996</v>
      </c>
      <c r="G52" s="109" t="s">
        <v>6</v>
      </c>
      <c r="H52" s="400">
        <v>1.0699999999999999E-2</v>
      </c>
      <c r="I52" s="101">
        <f>ROUND(F52*H52,2)</f>
        <v>46527.95</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289603.86</v>
      </c>
      <c r="N53" s="28"/>
      <c r="O53" s="382" t="s">
        <v>400</v>
      </c>
      <c r="P53" s="28"/>
      <c r="Q53" s="44"/>
      <c r="R53" s="407"/>
      <c r="S53" s="408"/>
      <c r="T53" s="409"/>
      <c r="U53" s="401">
        <f>SUM(U51:U52)</f>
        <v>0</v>
      </c>
    </row>
    <row r="54" spans="1:22" x14ac:dyDescent="0.25">
      <c r="A54" s="241"/>
      <c r="C54" s="443" t="s">
        <v>444</v>
      </c>
      <c r="D54" s="443" t="s">
        <v>444</v>
      </c>
      <c r="G54" s="42"/>
      <c r="H54" s="114"/>
      <c r="I54" s="114"/>
      <c r="N54" s="460"/>
      <c r="O54" s="51"/>
      <c r="P54" s="40" t="s">
        <v>444</v>
      </c>
      <c r="Q54" s="40" t="s">
        <v>444</v>
      </c>
      <c r="R54" s="51"/>
      <c r="S54" s="51"/>
      <c r="T54" s="461"/>
      <c r="U54" s="462"/>
      <c r="V54" s="114"/>
    </row>
    <row r="55" spans="1:22" x14ac:dyDescent="0.25">
      <c r="A55" s="444"/>
      <c r="B55" s="444"/>
      <c r="C55" s="88" t="s">
        <v>492</v>
      </c>
      <c r="D55" s="332" t="s">
        <v>493</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
        <v>2</v>
      </c>
      <c r="D56" s="323" t="s">
        <v>2</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2" si="10">IF(D$72=0,C57*2,C57+D57)</f>
        <v>0</v>
      </c>
      <c r="F57" s="442" t="s">
        <v>437</v>
      </c>
      <c r="G57" s="442">
        <v>251</v>
      </c>
      <c r="H57" s="456">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34.94</v>
      </c>
      <c r="D63" s="143">
        <v>35.36</v>
      </c>
      <c r="E63" s="116">
        <f>IF(D$66=0,C63*2,C63+D63)</f>
        <v>70.3</v>
      </c>
      <c r="F63" s="443" t="s">
        <v>14</v>
      </c>
      <c r="G63" s="442">
        <v>251</v>
      </c>
      <c r="H63" s="456">
        <v>835</v>
      </c>
      <c r="I63" s="101">
        <f t="shared" si="11"/>
        <v>58700.5</v>
      </c>
      <c r="N63" s="634"/>
      <c r="O63" s="634"/>
      <c r="P63" s="637"/>
      <c r="Q63" s="637"/>
      <c r="R63" s="40" t="s">
        <v>14</v>
      </c>
      <c r="S63" s="448">
        <v>251</v>
      </c>
      <c r="T63" s="459">
        <f t="shared" si="12"/>
        <v>835</v>
      </c>
      <c r="U63" s="473">
        <f t="shared" si="13"/>
        <v>0</v>
      </c>
      <c r="V63" s="423"/>
    </row>
    <row r="64" spans="1:22" x14ac:dyDescent="0.25">
      <c r="A64" s="604"/>
      <c r="B64" s="604"/>
      <c r="C64" s="143">
        <v>2.41</v>
      </c>
      <c r="D64" s="143">
        <v>1.5</v>
      </c>
      <c r="E64" s="116">
        <f>IF(D$66=0,C64*2,C64+D64)</f>
        <v>3.91</v>
      </c>
      <c r="F64" s="443" t="s">
        <v>14</v>
      </c>
      <c r="G64" s="442">
        <v>252</v>
      </c>
      <c r="H64" s="456">
        <v>3168</v>
      </c>
      <c r="I64" s="101">
        <f t="shared" si="11"/>
        <v>12386.88</v>
      </c>
      <c r="N64" s="634"/>
      <c r="O64" s="634"/>
      <c r="P64" s="637"/>
      <c r="Q64" s="637"/>
      <c r="R64" s="40" t="s">
        <v>14</v>
      </c>
      <c r="S64" s="448">
        <v>252</v>
      </c>
      <c r="T64" s="459">
        <f t="shared" si="12"/>
        <v>3168</v>
      </c>
      <c r="U64" s="473">
        <f t="shared" si="13"/>
        <v>0</v>
      </c>
      <c r="V64" s="423"/>
    </row>
    <row r="65" spans="1:22" ht="16.5" thickBot="1" x14ac:dyDescent="0.3">
      <c r="A65" s="604"/>
      <c r="B65" s="604"/>
      <c r="C65" s="143">
        <v>0.5</v>
      </c>
      <c r="D65" s="143">
        <v>0</v>
      </c>
      <c r="E65" s="116">
        <f>IF(D$66=0,C65*2,C65+D65)</f>
        <v>0.5</v>
      </c>
      <c r="F65" s="443" t="s">
        <v>14</v>
      </c>
      <c r="G65" s="442">
        <v>253</v>
      </c>
      <c r="H65" s="456">
        <v>6685</v>
      </c>
      <c r="I65" s="101">
        <f t="shared" si="11"/>
        <v>3342.5</v>
      </c>
      <c r="N65" s="634"/>
      <c r="O65" s="634"/>
      <c r="P65" s="638"/>
      <c r="Q65" s="638"/>
      <c r="R65" s="40" t="s">
        <v>14</v>
      </c>
      <c r="S65" s="448">
        <v>253</v>
      </c>
      <c r="T65" s="459">
        <f t="shared" si="12"/>
        <v>6685</v>
      </c>
      <c r="U65" s="474">
        <f t="shared" si="13"/>
        <v>0</v>
      </c>
      <c r="V65" s="423"/>
    </row>
    <row r="66" spans="1:22" ht="16.5" thickBot="1" x14ac:dyDescent="0.3">
      <c r="A66" s="241"/>
      <c r="C66" s="97">
        <f>SUM(C57:C65)</f>
        <v>37.849999999999994</v>
      </c>
      <c r="D66" s="97">
        <f>SUM(D57:D65)</f>
        <v>36.86</v>
      </c>
      <c r="E66" s="97">
        <f>SUM(E57:E65)</f>
        <v>74.709999999999994</v>
      </c>
      <c r="F66" s="605" t="s">
        <v>446</v>
      </c>
      <c r="G66" s="605"/>
      <c r="H66" s="605"/>
      <c r="I66" s="97">
        <f>SUM(I57:I65)</f>
        <v>74429.88</v>
      </c>
      <c r="N66" s="460"/>
      <c r="O66" s="51"/>
      <c r="P66" s="617">
        <f>SUM(P57:P65)</f>
        <v>0</v>
      </c>
      <c r="Q66" s="617"/>
      <c r="R66" s="618" t="s">
        <v>446</v>
      </c>
      <c r="S66" s="618"/>
      <c r="T66" s="618"/>
      <c r="U66" s="475">
        <f>SUM(U57:U65)</f>
        <v>0</v>
      </c>
      <c r="V66" s="423"/>
    </row>
    <row r="67" spans="1:22" x14ac:dyDescent="0.25">
      <c r="A67" s="241"/>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782.77</v>
      </c>
      <c r="D69" s="580" t="s">
        <v>412</v>
      </c>
      <c r="E69" s="580"/>
      <c r="F69" s="580"/>
      <c r="G69" s="580"/>
      <c r="H69" s="287">
        <v>210228.91</v>
      </c>
      <c r="I69" s="113"/>
      <c r="N69" s="615" t="s">
        <v>405</v>
      </c>
      <c r="O69" s="616"/>
      <c r="P69" s="41">
        <f>P30</f>
        <v>0</v>
      </c>
      <c r="Q69" s="621" t="s">
        <v>407</v>
      </c>
      <c r="R69" s="622"/>
      <c r="S69" s="622"/>
      <c r="T69" s="619">
        <f>H69</f>
        <v>210228.91</v>
      </c>
      <c r="U69" s="619"/>
    </row>
    <row r="70" spans="1:22" x14ac:dyDescent="0.25">
      <c r="B70" s="69"/>
      <c r="G70" s="42" t="s">
        <v>12</v>
      </c>
      <c r="H70" s="114">
        <f>ROUND(C69/H69,6)</f>
        <v>3.7230000000000002E-3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783.71069999999997</v>
      </c>
      <c r="D72" s="580" t="s">
        <v>413</v>
      </c>
      <c r="E72" s="580"/>
      <c r="F72" s="580"/>
      <c r="G72" s="580"/>
      <c r="H72" s="288">
        <v>234891.44</v>
      </c>
      <c r="I72" s="116"/>
      <c r="N72" s="615" t="s">
        <v>406</v>
      </c>
      <c r="O72" s="616"/>
      <c r="P72" s="41">
        <f>T30</f>
        <v>0</v>
      </c>
      <c r="Q72" s="621" t="s">
        <v>408</v>
      </c>
      <c r="R72" s="622"/>
      <c r="S72" s="622"/>
      <c r="T72" s="619">
        <f>H72</f>
        <v>234891.44</v>
      </c>
      <c r="U72" s="619"/>
    </row>
    <row r="73" spans="1:22" x14ac:dyDescent="0.25">
      <c r="G73" s="42" t="s">
        <v>12</v>
      </c>
      <c r="H73" s="114">
        <f>ROUND(C72/H72,6)</f>
        <v>3.336E-3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782.77</v>
      </c>
      <c r="D75" s="572" t="s">
        <v>414</v>
      </c>
      <c r="E75" s="572"/>
      <c r="F75" s="572"/>
      <c r="G75" s="572"/>
      <c r="H75" s="287">
        <v>187665.41</v>
      </c>
      <c r="I75" s="113"/>
      <c r="N75" s="615" t="s">
        <v>404</v>
      </c>
      <c r="O75" s="616"/>
      <c r="P75" s="41">
        <f>P30</f>
        <v>0</v>
      </c>
      <c r="Q75" s="651" t="s">
        <v>409</v>
      </c>
      <c r="R75" s="652"/>
      <c r="S75" s="652"/>
      <c r="T75" s="619">
        <f>H75</f>
        <v>187665.41</v>
      </c>
      <c r="U75" s="619"/>
    </row>
    <row r="76" spans="1:22" x14ac:dyDescent="0.25">
      <c r="B76" s="69"/>
      <c r="G76" s="42" t="s">
        <v>12</v>
      </c>
      <c r="H76" s="114">
        <f>ROUND(C75/H75,6)</f>
        <v>4.1710000000000002E-3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782.77</v>
      </c>
      <c r="D78" s="600" t="s">
        <v>415</v>
      </c>
      <c r="E78" s="600"/>
      <c r="F78" s="600"/>
      <c r="G78" s="600"/>
      <c r="H78" s="287">
        <v>209892.26</v>
      </c>
      <c r="I78" s="113"/>
      <c r="N78" s="615" t="s">
        <v>404</v>
      </c>
      <c r="O78" s="616"/>
      <c r="P78" s="41">
        <f>P30</f>
        <v>0</v>
      </c>
      <c r="Q78" s="649" t="s">
        <v>410</v>
      </c>
      <c r="R78" s="650"/>
      <c r="S78" s="650"/>
      <c r="T78" s="619">
        <f>H78</f>
        <v>209892.26</v>
      </c>
      <c r="U78" s="619"/>
    </row>
    <row r="79" spans="1:22" x14ac:dyDescent="0.25">
      <c r="B79" s="69"/>
      <c r="G79" s="42" t="s">
        <v>12</v>
      </c>
      <c r="H79" s="114">
        <f>ROUND(C78/H78,6)</f>
        <v>3.7290000000000001E-3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782.77</v>
      </c>
      <c r="D81" s="572" t="s">
        <v>416</v>
      </c>
      <c r="E81" s="572"/>
      <c r="F81" s="572"/>
      <c r="G81" s="572"/>
      <c r="H81" s="287">
        <v>187328.76</v>
      </c>
      <c r="I81" s="113"/>
      <c r="N81" s="615" t="s">
        <v>417</v>
      </c>
      <c r="O81" s="616"/>
      <c r="P81" s="41">
        <f>P30</f>
        <v>0</v>
      </c>
      <c r="Q81" s="651" t="s">
        <v>418</v>
      </c>
      <c r="R81" s="652"/>
      <c r="S81" s="652"/>
      <c r="T81" s="619">
        <f>H81</f>
        <v>187328.76</v>
      </c>
      <c r="U81" s="619"/>
    </row>
    <row r="82" spans="1:21" x14ac:dyDescent="0.25">
      <c r="B82" s="69"/>
      <c r="G82" s="42" t="s">
        <v>12</v>
      </c>
      <c r="H82" s="114">
        <f>ROUND(C81/H81,6)</f>
        <v>4.1790000000000004E-3</v>
      </c>
      <c r="I82" s="115"/>
      <c r="N82" s="616"/>
      <c r="O82" s="616"/>
      <c r="P82" s="616"/>
      <c r="Q82" s="616"/>
      <c r="R82" s="616"/>
      <c r="S82" s="616"/>
      <c r="T82" s="620">
        <f>ROUND(P81/T81,6)</f>
        <v>0</v>
      </c>
      <c r="U82" s="620"/>
    </row>
    <row r="83" spans="1:21" x14ac:dyDescent="0.25">
      <c r="A83" s="241"/>
      <c r="G83" s="42"/>
      <c r="H83" s="114"/>
      <c r="I83" s="114"/>
      <c r="N83" s="445"/>
      <c r="O83" s="445"/>
      <c r="P83" s="445"/>
      <c r="Q83" s="445"/>
      <c r="R83" s="445"/>
      <c r="S83" s="445"/>
      <c r="T83" s="446"/>
      <c r="U83" s="446"/>
    </row>
    <row r="84" spans="1:21" x14ac:dyDescent="0.25">
      <c r="A84" s="241"/>
      <c r="G84" s="42"/>
      <c r="H84" s="114"/>
      <c r="I84" s="114"/>
      <c r="N84" s="445"/>
      <c r="O84" s="445"/>
      <c r="P84" s="445"/>
      <c r="Q84" s="445"/>
      <c r="R84" s="445"/>
      <c r="S84" s="445"/>
      <c r="T84" s="446"/>
      <c r="U84" s="446"/>
    </row>
    <row r="85" spans="1:21" x14ac:dyDescent="0.25">
      <c r="A85" s="441" t="s">
        <v>453</v>
      </c>
      <c r="D85" s="69"/>
      <c r="E85" s="43" t="s">
        <v>299</v>
      </c>
      <c r="F85" s="289">
        <v>46163704</v>
      </c>
      <c r="G85" s="37" t="s">
        <v>6</v>
      </c>
      <c r="H85" s="421">
        <f>H79</f>
        <v>3.7290000000000001E-3</v>
      </c>
      <c r="I85" s="101">
        <f>ROUND(F85*H85,2)</f>
        <v>172144.45</v>
      </c>
      <c r="N85" s="452" t="s">
        <v>453</v>
      </c>
      <c r="O85" s="51"/>
      <c r="P85" s="51"/>
      <c r="Q85" s="44"/>
      <c r="R85" s="418">
        <f>F85</f>
        <v>46163704</v>
      </c>
      <c r="S85" s="38" t="s">
        <v>6</v>
      </c>
      <c r="T85" s="420">
        <f>T79</f>
        <v>0</v>
      </c>
      <c r="U85" s="472">
        <f>ROUND(R85*T85,2)</f>
        <v>0</v>
      </c>
    </row>
    <row r="86" spans="1:21" x14ac:dyDescent="0.25">
      <c r="A86" s="398"/>
      <c r="D86" s="69"/>
      <c r="E86" s="43"/>
      <c r="F86" s="275"/>
      <c r="G86" s="37"/>
      <c r="H86" s="421"/>
      <c r="I86" s="101"/>
      <c r="N86" s="51"/>
      <c r="O86" s="51"/>
      <c r="P86" s="51"/>
      <c r="Q86" s="44"/>
      <c r="R86" s="419"/>
      <c r="S86" s="38"/>
      <c r="T86" s="420"/>
      <c r="U86" s="476"/>
    </row>
    <row r="87" spans="1:21" x14ac:dyDescent="0.25">
      <c r="A87" s="602" t="s">
        <v>71</v>
      </c>
      <c r="B87" s="593"/>
      <c r="C87" s="593"/>
      <c r="D87" s="69"/>
      <c r="E87" s="43"/>
      <c r="F87" s="275"/>
      <c r="G87" s="37"/>
      <c r="H87" s="421"/>
      <c r="I87" s="101"/>
      <c r="N87" s="615" t="s">
        <v>461</v>
      </c>
      <c r="O87" s="616"/>
      <c r="P87" s="616"/>
      <c r="Q87" s="51"/>
      <c r="R87" s="419"/>
      <c r="S87" s="51"/>
      <c r="T87" s="38"/>
      <c r="U87" s="477"/>
    </row>
    <row r="88" spans="1:21" x14ac:dyDescent="0.25">
      <c r="A88" s="602" t="s">
        <v>99</v>
      </c>
      <c r="B88" s="593"/>
      <c r="C88" s="593"/>
      <c r="D88" s="69"/>
      <c r="E88" s="43" t="s">
        <v>3</v>
      </c>
      <c r="F88" s="289">
        <v>0</v>
      </c>
      <c r="G88" s="37" t="s">
        <v>6</v>
      </c>
      <c r="H88" s="421">
        <f>H70</f>
        <v>3.7230000000000002E-3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275"/>
      <c r="G89" s="37"/>
      <c r="H89" s="421"/>
      <c r="I89" s="101"/>
      <c r="N89" s="433"/>
      <c r="O89" s="45"/>
      <c r="P89" s="45"/>
      <c r="Q89" s="44"/>
      <c r="R89" s="418"/>
      <c r="S89" s="38"/>
      <c r="T89" s="420"/>
      <c r="U89" s="472"/>
    </row>
    <row r="90" spans="1:21" x14ac:dyDescent="0.25">
      <c r="A90" s="450" t="s">
        <v>454</v>
      </c>
      <c r="D90" s="69"/>
      <c r="E90" s="43" t="s">
        <v>419</v>
      </c>
      <c r="F90" s="289">
        <v>19042026</v>
      </c>
      <c r="G90" s="37" t="s">
        <v>6</v>
      </c>
      <c r="H90" s="421">
        <f>H82</f>
        <v>4.1790000000000004E-3</v>
      </c>
      <c r="I90" s="101">
        <f>ROUND(F90*H90,2)</f>
        <v>79576.63</v>
      </c>
      <c r="N90" s="452" t="s">
        <v>454</v>
      </c>
      <c r="O90" s="51"/>
      <c r="P90" s="51"/>
      <c r="Q90" s="44"/>
      <c r="R90" s="418">
        <f>F90</f>
        <v>19042026</v>
      </c>
      <c r="S90" s="38" t="s">
        <v>6</v>
      </c>
      <c r="T90" s="420">
        <f>T82</f>
        <v>0</v>
      </c>
      <c r="U90" s="472">
        <f>ROUND(R90*T90,2)</f>
        <v>0</v>
      </c>
    </row>
    <row r="91" spans="1:21" x14ac:dyDescent="0.25">
      <c r="A91" s="398"/>
      <c r="D91" s="69"/>
      <c r="E91" s="43"/>
      <c r="F91" s="275"/>
      <c r="G91" s="37"/>
      <c r="H91" s="421"/>
      <c r="I91" s="101"/>
      <c r="N91" s="406"/>
      <c r="O91" s="51"/>
      <c r="P91" s="51"/>
      <c r="Q91" s="44"/>
      <c r="R91" s="418"/>
      <c r="S91" s="38"/>
      <c r="T91" s="420"/>
      <c r="U91" s="472"/>
    </row>
    <row r="92" spans="1:21" x14ac:dyDescent="0.25">
      <c r="A92" s="450" t="s">
        <v>455</v>
      </c>
      <c r="D92" s="69"/>
      <c r="E92" s="43" t="s">
        <v>3</v>
      </c>
      <c r="F92" s="289">
        <v>11441151</v>
      </c>
      <c r="G92" s="37" t="s">
        <v>6</v>
      </c>
      <c r="H92" s="421">
        <f>H76</f>
        <v>4.1710000000000002E-3</v>
      </c>
      <c r="I92" s="101">
        <f t="shared" ref="I92:I98" si="14">ROUND(F92*H92,2)</f>
        <v>47721.04</v>
      </c>
      <c r="N92" s="452" t="s">
        <v>455</v>
      </c>
      <c r="O92" s="51"/>
      <c r="P92" s="51"/>
      <c r="Q92" s="44"/>
      <c r="R92" s="418">
        <f t="shared" ref="R92:R96" si="15">F92</f>
        <v>11441151</v>
      </c>
      <c r="S92" s="38" t="s">
        <v>6</v>
      </c>
      <c r="T92" s="420">
        <f>T76</f>
        <v>0</v>
      </c>
      <c r="U92" s="472">
        <f>ROUND(R92*T92,2)</f>
        <v>0</v>
      </c>
    </row>
    <row r="93" spans="1:21" x14ac:dyDescent="0.25">
      <c r="A93" s="81"/>
      <c r="D93" s="69"/>
      <c r="E93" s="43"/>
      <c r="F93" s="275"/>
      <c r="G93" s="37"/>
      <c r="H93" s="421"/>
      <c r="I93" s="101"/>
      <c r="N93" s="382"/>
      <c r="O93" s="51"/>
      <c r="P93" s="51"/>
      <c r="Q93" s="44"/>
      <c r="R93" s="419"/>
      <c r="S93" s="38"/>
      <c r="T93" s="420"/>
      <c r="U93" s="476"/>
    </row>
    <row r="94" spans="1:21" x14ac:dyDescent="0.25">
      <c r="A94" s="599" t="s">
        <v>420</v>
      </c>
      <c r="B94" s="593"/>
      <c r="C94" s="593"/>
      <c r="D94" s="69"/>
      <c r="E94" s="43" t="s">
        <v>4</v>
      </c>
      <c r="F94" s="289">
        <v>255756816</v>
      </c>
      <c r="G94" s="37" t="s">
        <v>6</v>
      </c>
      <c r="H94" s="421">
        <f>H73</f>
        <v>3.336E-3</v>
      </c>
      <c r="I94" s="101">
        <f t="shared" si="14"/>
        <v>853204.74</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275"/>
      <c r="G95" s="37"/>
      <c r="H95" s="421"/>
      <c r="I95" s="101"/>
      <c r="N95" s="45"/>
      <c r="O95" s="45"/>
      <c r="P95" s="45"/>
      <c r="Q95" s="44"/>
      <c r="R95" s="418"/>
      <c r="S95" s="38"/>
      <c r="T95" s="420"/>
      <c r="U95" s="472"/>
    </row>
    <row r="96" spans="1:21" x14ac:dyDescent="0.25">
      <c r="A96" s="599" t="s">
        <v>421</v>
      </c>
      <c r="B96" s="593"/>
      <c r="C96" s="593"/>
      <c r="D96" s="69"/>
      <c r="E96" s="43" t="s">
        <v>4</v>
      </c>
      <c r="F96" s="289">
        <v>-1585559</v>
      </c>
      <c r="G96" s="37" t="s">
        <v>6</v>
      </c>
      <c r="H96" s="421">
        <f>H73</f>
        <v>3.336E-3</v>
      </c>
      <c r="I96" s="101">
        <f t="shared" si="14"/>
        <v>-5289.42</v>
      </c>
      <c r="N96" s="615" t="s">
        <v>421</v>
      </c>
      <c r="O96" s="615"/>
      <c r="P96" s="615"/>
      <c r="Q96" s="44"/>
      <c r="R96" s="418">
        <f t="shared" si="15"/>
        <v>-1585559</v>
      </c>
      <c r="S96" s="38" t="s">
        <v>6</v>
      </c>
      <c r="T96" s="420">
        <f>T73</f>
        <v>0</v>
      </c>
      <c r="U96" s="472">
        <f>ROUND(R96*T96,2)</f>
        <v>0</v>
      </c>
    </row>
    <row r="97" spans="1:21" x14ac:dyDescent="0.25">
      <c r="A97" s="529"/>
      <c r="B97" s="528"/>
      <c r="C97" s="528"/>
      <c r="D97" s="528"/>
      <c r="E97" s="526"/>
      <c r="F97" s="275"/>
      <c r="G97" s="527"/>
      <c r="H97" s="421"/>
      <c r="I97" s="101"/>
      <c r="N97" s="532"/>
      <c r="O97" s="532"/>
      <c r="P97" s="532"/>
      <c r="Q97" s="44"/>
      <c r="R97" s="534"/>
      <c r="S97" s="533"/>
      <c r="T97" s="420"/>
      <c r="U97" s="476"/>
    </row>
    <row r="98" spans="1:21" x14ac:dyDescent="0.25">
      <c r="A98" s="529" t="s">
        <v>495</v>
      </c>
      <c r="B98" s="528"/>
      <c r="C98" s="528"/>
      <c r="D98" s="528"/>
      <c r="E98" s="526" t="s">
        <v>3</v>
      </c>
      <c r="F98" s="289">
        <v>0</v>
      </c>
      <c r="G98" s="527" t="s">
        <v>6</v>
      </c>
      <c r="H98" s="421">
        <f>H70</f>
        <v>3.7230000000000002E-3</v>
      </c>
      <c r="I98" s="101">
        <f t="shared" si="14"/>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81"/>
      <c r="B100" s="69"/>
      <c r="C100" s="69"/>
      <c r="D100" s="69"/>
      <c r="E100" s="43"/>
      <c r="F100" s="275"/>
      <c r="G100" s="37"/>
      <c r="H100" s="421"/>
      <c r="I100" s="101"/>
      <c r="N100" s="382"/>
      <c r="O100" s="382"/>
      <c r="P100" s="382"/>
      <c r="Q100" s="44"/>
      <c r="R100" s="419"/>
      <c r="S100" s="38"/>
      <c r="T100" s="420"/>
      <c r="U100" s="103"/>
    </row>
    <row r="101" spans="1:21" ht="15" customHeight="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119" t="s">
        <v>423</v>
      </c>
      <c r="F103" s="120" t="s">
        <v>106</v>
      </c>
      <c r="G103" s="121"/>
      <c r="H103" s="121"/>
      <c r="I103" s="121"/>
      <c r="N103" s="646" t="s">
        <v>35</v>
      </c>
      <c r="O103" s="646"/>
      <c r="P103" s="647" t="s">
        <v>425</v>
      </c>
      <c r="Q103" s="648"/>
      <c r="R103" s="619" t="s">
        <v>31</v>
      </c>
      <c r="S103" s="619"/>
      <c r="T103" s="619"/>
      <c r="U103" s="619"/>
    </row>
    <row r="104" spans="1:21" x14ac:dyDescent="0.25">
      <c r="A104" s="26"/>
      <c r="B104" s="52" t="s">
        <v>105</v>
      </c>
      <c r="C104" s="611">
        <f>H14+H15+H20+H23+H26</f>
        <v>0</v>
      </c>
      <c r="D104" s="611"/>
      <c r="E104" s="46">
        <f>H8</f>
        <v>1.0407999999999999</v>
      </c>
      <c r="F104" s="290">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290">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783.71069999999997</v>
      </c>
      <c r="D106" s="611"/>
      <c r="E106" s="46">
        <f>H8</f>
        <v>1.0407999999999999</v>
      </c>
      <c r="F106" s="290">
        <v>910.12</v>
      </c>
      <c r="G106" s="39" t="s">
        <v>12</v>
      </c>
      <c r="H106" s="94">
        <f>ROUND(C106*E106*F106,2)</f>
        <v>742372.23</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783.71069999999997</v>
      </c>
      <c r="D107" s="601"/>
      <c r="E107" s="123"/>
      <c r="F107" s="123"/>
      <c r="G107" s="123"/>
      <c r="H107" s="124" t="s">
        <v>100</v>
      </c>
      <c r="I107" s="101">
        <f>IF(A1=75,0,H106+H105+H104)</f>
        <v>742372.23</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90" t="s">
        <v>2</v>
      </c>
      <c r="F112" s="43"/>
      <c r="G112" s="43"/>
      <c r="H112" s="43"/>
      <c r="I112" s="43"/>
      <c r="N112" s="45"/>
      <c r="O112" s="45"/>
      <c r="P112" s="45"/>
      <c r="Q112" s="125"/>
      <c r="R112" s="125"/>
      <c r="S112" s="125"/>
      <c r="T112" s="125"/>
      <c r="U112" s="103"/>
    </row>
    <row r="113" spans="1:21" x14ac:dyDescent="0.25">
      <c r="A113" s="572" t="s">
        <v>381</v>
      </c>
      <c r="B113" s="573"/>
      <c r="C113" s="143">
        <v>474</v>
      </c>
      <c r="D113" s="143">
        <v>457</v>
      </c>
      <c r="E113" s="116">
        <f>(C113+D113)/2</f>
        <v>465.5</v>
      </c>
      <c r="F113" s="126" t="s">
        <v>30</v>
      </c>
      <c r="G113" s="291">
        <v>567</v>
      </c>
      <c r="I113" s="101">
        <f>ROUND(G113*E113,2)</f>
        <v>263938.5</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291">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498</v>
      </c>
      <c r="B117" s="593"/>
      <c r="C117" s="593"/>
      <c r="D117" s="69"/>
      <c r="E117" s="39" t="s">
        <v>300</v>
      </c>
      <c r="F117" s="578"/>
      <c r="G117" s="578"/>
      <c r="H117" s="578"/>
      <c r="I117" s="578"/>
      <c r="N117" s="615" t="s">
        <v>499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6576504.3200000003</v>
      </c>
      <c r="J128" s="250"/>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J129" s="250"/>
      <c r="N129" s="452"/>
      <c r="O129" s="451"/>
      <c r="P129" s="451"/>
      <c r="Q129" s="305"/>
      <c r="R129" s="305"/>
      <c r="S129" s="305"/>
      <c r="T129" s="305"/>
      <c r="U129" s="103"/>
    </row>
    <row r="130" spans="1:21" ht="16.5" thickBot="1" x14ac:dyDescent="0.3">
      <c r="A130" s="529" t="s">
        <v>432</v>
      </c>
      <c r="B130" s="26"/>
      <c r="C130" s="26"/>
      <c r="D130" s="26"/>
      <c r="E130" s="26"/>
      <c r="F130" s="26"/>
      <c r="G130" s="26"/>
      <c r="H130" s="26"/>
      <c r="I130" s="101">
        <f>I128-I53</f>
        <v>6286900.46</v>
      </c>
      <c r="J130" s="250"/>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599" t="s">
        <v>500</v>
      </c>
      <c r="B132" s="593"/>
      <c r="C132" s="593"/>
      <c r="D132" s="593"/>
      <c r="E132" s="593"/>
      <c r="F132" s="593"/>
      <c r="G132" s="593"/>
      <c r="H132" s="81" t="s">
        <v>333</v>
      </c>
      <c r="I132" s="134"/>
      <c r="J132" s="250"/>
      <c r="N132" s="615" t="s">
        <v>501</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6286900.46</v>
      </c>
      <c r="I135" s="94">
        <f>ROUND(IF(E30=0,0,IF(E30&gt;250,-(((250/E30)*H135)*IF(G135="H",0.02,0.05)),IF(G135="H",-0.02*H135,-0.05*H135))),2)</f>
        <v>-40158.03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6536346.29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Payments'!Q68</f>
        <v>-1087972.33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247</v>
      </c>
      <c r="B141" s="69"/>
      <c r="C141" s="69"/>
      <c r="D141" s="69"/>
      <c r="E141" s="69"/>
      <c r="F141" s="69"/>
      <c r="G141" s="69"/>
      <c r="H141" s="65"/>
      <c r="I141" s="101">
        <f>I137+I139</f>
        <v>5448373.96</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248</v>
      </c>
      <c r="B143" s="69"/>
      <c r="C143" s="69"/>
      <c r="D143" s="69"/>
      <c r="E143" s="69"/>
      <c r="F143" s="69"/>
      <c r="G143" s="69"/>
      <c r="H143" s="65"/>
      <c r="I143" s="272">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544837.4</v>
      </c>
      <c r="K145" s="41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85579.98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43" t="s">
        <v>7</v>
      </c>
      <c r="B151" s="343"/>
      <c r="C151" s="343"/>
      <c r="D151" s="343"/>
      <c r="E151" s="343"/>
      <c r="F151" s="343"/>
      <c r="G151" s="343"/>
      <c r="H151" s="343"/>
      <c r="I151" s="343"/>
      <c r="J151" s="134"/>
      <c r="N151" s="73"/>
      <c r="O151" s="73"/>
      <c r="P151" s="73"/>
      <c r="Q151" s="73"/>
      <c r="R151" s="73"/>
      <c r="S151" s="73"/>
      <c r="T151" s="73"/>
      <c r="U151" s="73"/>
    </row>
    <row r="152" spans="1:21" ht="12.75" customHeight="1" x14ac:dyDescent="0.25">
      <c r="A152" s="344" t="s">
        <v>260</v>
      </c>
      <c r="B152" s="345"/>
      <c r="C152" s="345"/>
      <c r="D152" s="345"/>
      <c r="E152" s="345"/>
      <c r="F152" s="345"/>
      <c r="G152" s="345"/>
      <c r="H152" s="345"/>
      <c r="I152" s="345"/>
      <c r="J152" s="77"/>
      <c r="K152" s="322"/>
      <c r="L152" s="76"/>
      <c r="M152" s="76"/>
      <c r="N152" s="73"/>
      <c r="O152" s="73"/>
      <c r="P152" s="73"/>
      <c r="Q152" s="73"/>
      <c r="R152" s="73"/>
      <c r="S152" s="73"/>
      <c r="T152" s="73"/>
      <c r="U152" s="73"/>
    </row>
    <row r="153" spans="1:21" ht="12.75" customHeight="1" x14ac:dyDescent="0.25">
      <c r="A153" s="350" t="s">
        <v>372</v>
      </c>
      <c r="B153" s="345"/>
      <c r="C153" s="345"/>
      <c r="D153" s="345"/>
      <c r="E153" s="345"/>
      <c r="F153" s="345"/>
      <c r="G153" s="345"/>
      <c r="H153" s="345"/>
      <c r="I153" s="345"/>
      <c r="J153" s="77"/>
      <c r="K153" s="322"/>
      <c r="L153" s="76"/>
      <c r="M153" s="76"/>
      <c r="N153" s="73"/>
      <c r="O153" s="73"/>
      <c r="P153" s="73"/>
      <c r="Q153" s="73"/>
      <c r="R153" s="73"/>
      <c r="S153" s="73"/>
      <c r="T153" s="73"/>
      <c r="U153" s="73"/>
    </row>
    <row r="154" spans="1:21" ht="12.75" customHeight="1" x14ac:dyDescent="0.25">
      <c r="A154" s="347" t="s">
        <v>373</v>
      </c>
      <c r="B154" s="346"/>
      <c r="C154" s="346"/>
      <c r="D154" s="346"/>
      <c r="E154" s="346"/>
      <c r="F154" s="346"/>
      <c r="G154" s="346"/>
      <c r="H154" s="346"/>
      <c r="I154" s="346"/>
      <c r="J154" s="76"/>
      <c r="K154" s="76"/>
      <c r="L154" s="76"/>
      <c r="M154" s="76"/>
      <c r="N154" s="73"/>
      <c r="O154" s="73"/>
      <c r="P154" s="73"/>
      <c r="Q154" s="73"/>
      <c r="R154" s="73"/>
      <c r="S154" s="73"/>
      <c r="T154" s="73"/>
      <c r="U154" s="73"/>
    </row>
    <row r="155" spans="1:21" s="76" customFormat="1" ht="12.75" customHeight="1" x14ac:dyDescent="0.2">
      <c r="A155" s="347" t="s">
        <v>374</v>
      </c>
      <c r="B155" s="346"/>
      <c r="C155" s="346"/>
      <c r="D155" s="346"/>
      <c r="E155" s="346"/>
      <c r="F155" s="346"/>
      <c r="G155" s="346"/>
      <c r="H155" s="346"/>
      <c r="I155" s="346"/>
      <c r="N155" s="640"/>
      <c r="O155" s="640"/>
      <c r="P155" s="640"/>
      <c r="Q155" s="640"/>
      <c r="R155" s="640"/>
      <c r="S155" s="640"/>
      <c r="T155" s="640"/>
      <c r="U155" s="640"/>
    </row>
    <row r="156" spans="1:21" s="76" customFormat="1" ht="12.75" customHeight="1" x14ac:dyDescent="0.2">
      <c r="A156" s="347" t="s">
        <v>375</v>
      </c>
      <c r="B156" s="346"/>
      <c r="C156" s="346"/>
      <c r="D156" s="346"/>
      <c r="E156" s="346"/>
      <c r="F156" s="346"/>
      <c r="G156" s="346"/>
      <c r="H156" s="346"/>
      <c r="I156" s="346"/>
      <c r="N156" s="73"/>
      <c r="O156" s="73"/>
      <c r="P156" s="73"/>
      <c r="Q156" s="73"/>
      <c r="R156" s="73"/>
      <c r="S156" s="73"/>
      <c r="T156" s="73"/>
      <c r="U156" s="73"/>
    </row>
    <row r="157" spans="1:21" s="76" customFormat="1" ht="12.75" customHeight="1" x14ac:dyDescent="0.2">
      <c r="A157" s="347" t="s">
        <v>376</v>
      </c>
      <c r="B157" s="346"/>
      <c r="C157" s="346"/>
      <c r="D157" s="346"/>
      <c r="E157" s="346"/>
      <c r="F157" s="346"/>
      <c r="G157" s="346"/>
      <c r="H157" s="346"/>
      <c r="I157" s="346"/>
      <c r="N157" s="78"/>
      <c r="O157" s="79"/>
      <c r="P157" s="79"/>
      <c r="Q157" s="79"/>
      <c r="R157" s="79"/>
      <c r="S157" s="79"/>
      <c r="T157" s="79"/>
      <c r="U157" s="79"/>
    </row>
    <row r="158" spans="1:21" s="76" customFormat="1" ht="12.75" customHeight="1" x14ac:dyDescent="0.2">
      <c r="A158" s="347" t="s">
        <v>377</v>
      </c>
      <c r="B158" s="346"/>
      <c r="C158" s="346"/>
      <c r="D158" s="346"/>
      <c r="E158" s="346"/>
      <c r="F158" s="346"/>
      <c r="G158" s="346"/>
      <c r="H158" s="346"/>
      <c r="I158" s="346"/>
      <c r="N158" s="78"/>
    </row>
    <row r="159" spans="1:21" s="76" customFormat="1" ht="12.75" customHeight="1" x14ac:dyDescent="0.2">
      <c r="A159" s="347" t="s">
        <v>379</v>
      </c>
      <c r="B159" s="346"/>
      <c r="C159" s="346"/>
      <c r="D159" s="346"/>
      <c r="E159" s="346"/>
      <c r="F159" s="346"/>
      <c r="G159" s="346"/>
      <c r="H159" s="346"/>
      <c r="I159" s="346"/>
      <c r="K159" s="346"/>
      <c r="N159" s="78"/>
    </row>
    <row r="160" spans="1:21" s="76" customFormat="1" ht="12.75" customHeight="1" x14ac:dyDescent="0.2">
      <c r="A160" s="352" t="s">
        <v>378</v>
      </c>
      <c r="B160" s="346"/>
      <c r="C160" s="346"/>
      <c r="D160" s="346"/>
      <c r="E160" s="346"/>
      <c r="F160" s="346"/>
      <c r="G160" s="346"/>
      <c r="H160" s="346"/>
      <c r="I160" s="346"/>
      <c r="N160" s="78"/>
    </row>
    <row r="161" spans="1:14" s="76" customFormat="1" ht="12.75" customHeight="1" x14ac:dyDescent="0.2">
      <c r="A161" s="347" t="s">
        <v>380</v>
      </c>
      <c r="B161" s="346"/>
      <c r="C161" s="346"/>
      <c r="D161" s="346"/>
      <c r="E161" s="346"/>
      <c r="F161" s="346"/>
      <c r="G161" s="346"/>
      <c r="H161" s="346"/>
      <c r="I161" s="346"/>
      <c r="N161" s="78"/>
    </row>
    <row r="162" spans="1:14" s="76" customFormat="1" ht="12.75" customHeight="1" x14ac:dyDescent="0.2">
      <c r="A162" s="351" t="s">
        <v>261</v>
      </c>
      <c r="B162" s="346"/>
      <c r="C162" s="346"/>
      <c r="D162" s="346"/>
      <c r="E162" s="346"/>
      <c r="F162" s="346"/>
      <c r="G162" s="346"/>
      <c r="H162" s="346"/>
      <c r="I162" s="346"/>
      <c r="N162" s="78"/>
    </row>
    <row r="163" spans="1:14" s="76" customFormat="1" ht="12.75" customHeight="1" x14ac:dyDescent="0.2">
      <c r="A163" s="347" t="s">
        <v>383</v>
      </c>
      <c r="B163" s="346"/>
      <c r="C163" s="346"/>
      <c r="D163" s="346"/>
      <c r="E163" s="346"/>
      <c r="F163" s="346"/>
      <c r="G163" s="346"/>
      <c r="H163" s="346"/>
      <c r="I163" s="346"/>
      <c r="N163" s="78"/>
    </row>
    <row r="164" spans="1:14" s="76" customFormat="1" ht="12.75" customHeight="1" x14ac:dyDescent="0.2">
      <c r="A164" s="347" t="s">
        <v>288</v>
      </c>
      <c r="B164" s="346"/>
      <c r="C164" s="346"/>
      <c r="D164" s="346"/>
      <c r="E164" s="346"/>
      <c r="F164" s="346"/>
      <c r="G164" s="346"/>
      <c r="H164" s="346"/>
      <c r="I164" s="346"/>
      <c r="N164" s="78"/>
    </row>
    <row r="165" spans="1:14" s="76" customFormat="1" ht="12.75" customHeight="1" x14ac:dyDescent="0.2">
      <c r="A165" s="347" t="s">
        <v>385</v>
      </c>
      <c r="B165" s="346"/>
      <c r="C165" s="346"/>
      <c r="D165" s="346"/>
      <c r="E165" s="346"/>
      <c r="F165" s="346"/>
      <c r="G165" s="346"/>
      <c r="H165" s="346"/>
      <c r="I165" s="346"/>
      <c r="N165" s="78"/>
    </row>
    <row r="166" spans="1:14" s="76" customFormat="1" ht="12.75" customHeight="1" x14ac:dyDescent="0.2">
      <c r="A166" s="352" t="s">
        <v>384</v>
      </c>
      <c r="B166" s="346"/>
      <c r="C166" s="346"/>
      <c r="D166" s="346"/>
      <c r="E166" s="346"/>
      <c r="F166" s="346"/>
      <c r="G166" s="346"/>
      <c r="H166" s="346"/>
      <c r="I166" s="346"/>
      <c r="N166" s="78"/>
    </row>
    <row r="167" spans="1:14" s="76" customFormat="1" ht="12.75" customHeight="1" x14ac:dyDescent="0.2">
      <c r="A167" s="347" t="s">
        <v>386</v>
      </c>
      <c r="B167" s="346"/>
      <c r="C167" s="346"/>
      <c r="D167" s="346"/>
      <c r="E167" s="346"/>
      <c r="F167" s="346"/>
      <c r="G167" s="346"/>
      <c r="H167" s="346"/>
      <c r="I167" s="346"/>
      <c r="N167" s="78"/>
    </row>
    <row r="168" spans="1:14" s="76" customFormat="1" ht="12.75" customHeight="1" x14ac:dyDescent="0.2">
      <c r="A168" s="352" t="s">
        <v>262</v>
      </c>
      <c r="B168" s="346"/>
      <c r="C168" s="346"/>
      <c r="D168" s="346"/>
      <c r="E168" s="346"/>
      <c r="F168" s="346"/>
      <c r="G168" s="346"/>
      <c r="H168" s="346"/>
      <c r="I168" s="346"/>
      <c r="N168" s="78"/>
    </row>
    <row r="169" spans="1:14" s="76" customFormat="1" ht="12.75" customHeight="1" x14ac:dyDescent="0.2">
      <c r="A169" s="347" t="s">
        <v>388</v>
      </c>
      <c r="B169" s="346"/>
      <c r="C169" s="346"/>
      <c r="D169" s="346"/>
      <c r="E169" s="346"/>
      <c r="F169" s="346"/>
      <c r="G169" s="346"/>
      <c r="H169" s="346"/>
      <c r="I169" s="346"/>
      <c r="N169" s="78"/>
    </row>
    <row r="170" spans="1:14" s="76" customFormat="1" ht="12.75" customHeight="1" x14ac:dyDescent="0.2">
      <c r="A170" s="352" t="s">
        <v>387</v>
      </c>
      <c r="B170" s="346"/>
      <c r="C170" s="346"/>
      <c r="D170" s="346"/>
      <c r="E170" s="346"/>
      <c r="F170" s="346"/>
      <c r="G170" s="346"/>
      <c r="H170" s="346"/>
      <c r="I170" s="346"/>
      <c r="N170" s="78"/>
    </row>
    <row r="171" spans="1:14" s="76" customFormat="1" ht="12.75" customHeight="1" x14ac:dyDescent="0.2">
      <c r="A171" s="347"/>
      <c r="B171" s="346"/>
      <c r="C171" s="346"/>
      <c r="D171" s="346"/>
      <c r="E171" s="346"/>
      <c r="F171" s="346"/>
      <c r="G171" s="346"/>
      <c r="H171" s="346"/>
      <c r="I171" s="346"/>
      <c r="N171" s="78"/>
    </row>
    <row r="172" spans="1:14" s="76" customFormat="1" ht="12.75" customHeight="1" x14ac:dyDescent="0.2">
      <c r="A172" s="355" t="s">
        <v>67</v>
      </c>
      <c r="B172" s="346"/>
      <c r="C172" s="346"/>
      <c r="D172" s="346"/>
      <c r="E172" s="346"/>
      <c r="F172" s="346"/>
      <c r="G172" s="346"/>
      <c r="H172" s="346"/>
      <c r="I172" s="346"/>
      <c r="N172" s="78"/>
    </row>
    <row r="173" spans="1:14" s="76" customFormat="1" ht="12.75" customHeight="1" x14ac:dyDescent="0.2">
      <c r="A173" s="348" t="s">
        <v>263</v>
      </c>
      <c r="B173" s="349"/>
      <c r="C173" s="349"/>
      <c r="D173" s="349"/>
      <c r="E173" s="349"/>
      <c r="F173" s="349"/>
      <c r="G173" s="349"/>
      <c r="H173" s="349"/>
      <c r="I173" s="349"/>
      <c r="N173" s="78"/>
    </row>
    <row r="174" spans="1:14" s="76" customFormat="1" ht="12.75" customHeight="1" x14ac:dyDescent="0.2">
      <c r="A174" s="353" t="s">
        <v>301</v>
      </c>
      <c r="B174" s="356"/>
      <c r="C174" s="356"/>
      <c r="D174" s="356"/>
      <c r="E174" s="356"/>
      <c r="F174" s="356"/>
      <c r="G174" s="356"/>
      <c r="H174" s="356"/>
      <c r="I174" s="356"/>
      <c r="N174" s="78"/>
    </row>
    <row r="175" spans="1:14" s="76" customFormat="1" ht="12.75" customHeight="1" x14ac:dyDescent="0.2">
      <c r="A175" s="353" t="s">
        <v>389</v>
      </c>
      <c r="B175" s="356"/>
      <c r="C175" s="356"/>
      <c r="D175" s="356"/>
      <c r="E175" s="356"/>
      <c r="F175" s="356"/>
      <c r="G175" s="356"/>
      <c r="H175" s="356"/>
      <c r="I175" s="356"/>
      <c r="N175" s="78"/>
    </row>
    <row r="176" spans="1:14" s="76" customFormat="1" ht="12.75" customHeight="1" x14ac:dyDescent="0.2">
      <c r="A176" s="353" t="s">
        <v>390</v>
      </c>
      <c r="B176" s="356"/>
      <c r="C176" s="356"/>
      <c r="D176" s="356"/>
      <c r="E176" s="356"/>
      <c r="F176" s="356"/>
      <c r="G176" s="356"/>
      <c r="H176" s="356"/>
      <c r="I176" s="356"/>
      <c r="N176" s="78"/>
    </row>
    <row r="177" spans="1:21" s="76" customFormat="1" ht="12.75" customHeight="1" x14ac:dyDescent="0.2">
      <c r="A177" s="348"/>
      <c r="B177" s="356"/>
      <c r="C177" s="356"/>
      <c r="D177" s="356"/>
      <c r="E177" s="356"/>
      <c r="F177" s="356"/>
      <c r="G177" s="356"/>
      <c r="H177" s="356"/>
      <c r="I177" s="356"/>
      <c r="N177" s="78"/>
    </row>
    <row r="178" spans="1:21" s="76" customFormat="1" ht="12.75" customHeight="1" x14ac:dyDescent="0.25">
      <c r="A178" s="348" t="s">
        <v>302</v>
      </c>
      <c r="B178" s="349"/>
      <c r="C178" s="349"/>
      <c r="D178" s="349"/>
      <c r="E178" s="349"/>
      <c r="F178" s="349"/>
      <c r="G178" s="349"/>
      <c r="H178" s="349"/>
      <c r="I178" s="349"/>
      <c r="J178" s="3"/>
      <c r="K178" s="3"/>
      <c r="L178" s="3"/>
      <c r="M178" s="3"/>
      <c r="N178" s="78"/>
    </row>
    <row r="179" spans="1:21" s="76" customFormat="1" ht="12.75" customHeight="1" x14ac:dyDescent="0.25">
      <c r="A179" s="353" t="s">
        <v>301</v>
      </c>
      <c r="B179" s="349"/>
      <c r="C179" s="349"/>
      <c r="D179" s="349"/>
      <c r="E179" s="349"/>
      <c r="F179" s="349"/>
      <c r="G179" s="349"/>
      <c r="H179" s="349"/>
      <c r="I179" s="349"/>
      <c r="J179" s="3"/>
      <c r="K179" s="3"/>
      <c r="L179" s="3"/>
      <c r="M179" s="3"/>
      <c r="N179" s="78"/>
    </row>
    <row r="180" spans="1:21" s="76" customFormat="1" ht="12.75" customHeight="1" x14ac:dyDescent="0.25">
      <c r="A180" s="353" t="s">
        <v>303</v>
      </c>
      <c r="B180" s="349"/>
      <c r="C180" s="349"/>
      <c r="D180" s="349"/>
      <c r="E180" s="349"/>
      <c r="F180" s="349"/>
      <c r="G180" s="349"/>
      <c r="H180" s="349"/>
      <c r="I180" s="349"/>
      <c r="J180" s="3"/>
      <c r="K180" s="3"/>
      <c r="L180" s="3"/>
      <c r="M180" s="3"/>
      <c r="N180" s="78"/>
    </row>
    <row r="181" spans="1:21" s="76" customFormat="1" ht="12.75" customHeight="1" x14ac:dyDescent="0.25">
      <c r="A181" s="349"/>
      <c r="B181" s="349"/>
      <c r="C181" s="349"/>
      <c r="D181" s="349"/>
      <c r="E181" s="349"/>
      <c r="F181" s="349"/>
      <c r="G181" s="349"/>
      <c r="H181" s="349"/>
      <c r="I181" s="349"/>
      <c r="J181" s="3"/>
      <c r="K181" s="3"/>
      <c r="L181" s="3"/>
      <c r="M181" s="3"/>
      <c r="N181" s="78"/>
    </row>
    <row r="182" spans="1:21" s="76" customFormat="1" ht="12.75" customHeight="1" x14ac:dyDescent="0.2">
      <c r="A182" s="355" t="s">
        <v>68</v>
      </c>
      <c r="B182" s="355"/>
      <c r="C182" s="355"/>
      <c r="D182" s="355"/>
      <c r="E182" s="355"/>
      <c r="F182" s="355"/>
      <c r="G182" s="355"/>
      <c r="H182" s="355"/>
      <c r="I182" s="355"/>
      <c r="N182" s="78"/>
    </row>
    <row r="183" spans="1:21" ht="12.75" customHeight="1" x14ac:dyDescent="0.25">
      <c r="A183" s="348" t="s">
        <v>264</v>
      </c>
      <c r="B183" s="349"/>
      <c r="C183" s="349"/>
      <c r="D183" s="349"/>
      <c r="E183" s="349"/>
      <c r="F183" s="349"/>
      <c r="G183" s="349"/>
      <c r="H183" s="349"/>
      <c r="I183" s="349"/>
      <c r="J183" s="76"/>
      <c r="K183" s="76"/>
      <c r="L183" s="76"/>
      <c r="M183" s="76"/>
      <c r="N183" s="78"/>
      <c r="O183" s="76"/>
      <c r="P183" s="76"/>
      <c r="Q183" s="76"/>
      <c r="R183" s="76"/>
      <c r="S183" s="76"/>
      <c r="T183" s="76"/>
      <c r="U183" s="76"/>
    </row>
    <row r="184" spans="1:21" ht="12.75" customHeight="1" x14ac:dyDescent="0.25">
      <c r="A184" s="353" t="s">
        <v>265</v>
      </c>
      <c r="B184" s="356"/>
      <c r="C184" s="356"/>
      <c r="D184" s="356"/>
      <c r="E184" s="356"/>
      <c r="F184" s="356"/>
      <c r="G184" s="356"/>
      <c r="H184" s="356"/>
      <c r="I184" s="356"/>
      <c r="J184" s="76"/>
      <c r="K184" s="76"/>
      <c r="L184" s="76"/>
      <c r="M184" s="76"/>
      <c r="N184" s="78"/>
      <c r="O184" s="76"/>
      <c r="P184" s="76"/>
      <c r="Q184" s="76"/>
      <c r="R184" s="76"/>
      <c r="S184" s="76"/>
      <c r="T184" s="76"/>
      <c r="U184" s="76"/>
    </row>
    <row r="185" spans="1:21" s="76" customFormat="1" ht="12.75" customHeight="1" x14ac:dyDescent="0.25">
      <c r="A185" s="349" t="s">
        <v>11</v>
      </c>
      <c r="B185" s="349"/>
      <c r="C185" s="349"/>
      <c r="D185" s="349"/>
      <c r="E185" s="349"/>
      <c r="F185" s="349"/>
      <c r="G185" s="349"/>
      <c r="H185" s="349"/>
      <c r="I185" s="349"/>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s>
  <phoneticPr fontId="4"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315</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105.51</v>
      </c>
      <c r="D18" s="143">
        <v>107.27</v>
      </c>
      <c r="E18" s="116">
        <f t="shared" si="1"/>
        <v>212.78</v>
      </c>
      <c r="F18" s="678">
        <f>'1461'!F18:G18</f>
        <v>0.97799999999999998</v>
      </c>
      <c r="G18" s="678"/>
      <c r="H18" s="80">
        <f t="shared" si="2"/>
        <v>208.09880000000001</v>
      </c>
      <c r="I18" s="101">
        <f t="shared" si="3"/>
        <v>1154632.8600000001</v>
      </c>
      <c r="N18" s="616" t="s">
        <v>24</v>
      </c>
      <c r="O18" s="616"/>
      <c r="P18" s="657">
        <f t="shared" si="0"/>
        <v>0</v>
      </c>
      <c r="Q18" s="657"/>
      <c r="R18" s="662">
        <v>1</v>
      </c>
      <c r="S18" s="662"/>
      <c r="T18" s="95">
        <f t="shared" si="4"/>
        <v>0</v>
      </c>
      <c r="U18" s="472">
        <f t="shared" si="5"/>
        <v>0</v>
      </c>
    </row>
    <row r="19" spans="1:21" x14ac:dyDescent="0.25">
      <c r="A19" s="593" t="s">
        <v>25</v>
      </c>
      <c r="B19" s="593"/>
      <c r="C19" s="143">
        <v>23</v>
      </c>
      <c r="D19" s="143">
        <v>21.83</v>
      </c>
      <c r="E19" s="116">
        <f t="shared" si="1"/>
        <v>44.83</v>
      </c>
      <c r="F19" s="678">
        <f>'1461'!F19:G19</f>
        <v>0.97799999999999998</v>
      </c>
      <c r="G19" s="678"/>
      <c r="H19" s="80">
        <f t="shared" si="2"/>
        <v>43.843699999999998</v>
      </c>
      <c r="I19" s="101">
        <f t="shared" si="3"/>
        <v>243266.07</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19.649999999999999</v>
      </c>
      <c r="D28" s="143">
        <v>18.899999999999999</v>
      </c>
      <c r="E28" s="116">
        <f t="shared" si="1"/>
        <v>38.549999999999997</v>
      </c>
      <c r="F28" s="678">
        <f>'1461'!F28:G28</f>
        <v>1.1919999999999999</v>
      </c>
      <c r="G28" s="678"/>
      <c r="H28" s="80">
        <f t="shared" si="2"/>
        <v>45.951599999999999</v>
      </c>
      <c r="I28" s="101">
        <f t="shared" si="3"/>
        <v>254961.72</v>
      </c>
      <c r="N28" s="616" t="s">
        <v>87</v>
      </c>
      <c r="O28" s="616"/>
      <c r="P28" s="657">
        <f t="shared" si="0"/>
        <v>0</v>
      </c>
      <c r="Q28" s="657"/>
      <c r="R28" s="662">
        <v>1</v>
      </c>
      <c r="S28" s="662"/>
      <c r="T28" s="95">
        <f t="shared" si="4"/>
        <v>0</v>
      </c>
      <c r="U28" s="472">
        <f t="shared" si="5"/>
        <v>0</v>
      </c>
    </row>
    <row r="29" spans="1:21" x14ac:dyDescent="0.25">
      <c r="A29" s="593" t="s">
        <v>88</v>
      </c>
      <c r="B29" s="593"/>
      <c r="C29" s="110">
        <v>7.28</v>
      </c>
      <c r="D29" s="110">
        <v>6.89</v>
      </c>
      <c r="E29" s="116">
        <f t="shared" si="1"/>
        <v>14.17</v>
      </c>
      <c r="F29" s="678">
        <f>'1461'!F29:G29</f>
        <v>1.079</v>
      </c>
      <c r="G29" s="678"/>
      <c r="H29" s="93">
        <f t="shared" si="2"/>
        <v>15.289400000000001</v>
      </c>
      <c r="I29" s="94">
        <f t="shared" si="3"/>
        <v>84832.99</v>
      </c>
      <c r="N29" s="631" t="s">
        <v>88</v>
      </c>
      <c r="O29" s="631"/>
      <c r="P29" s="657">
        <f t="shared" si="0"/>
        <v>0</v>
      </c>
      <c r="Q29" s="657"/>
      <c r="R29" s="658">
        <v>1</v>
      </c>
      <c r="S29" s="658"/>
      <c r="T29" s="95">
        <f t="shared" si="4"/>
        <v>0</v>
      </c>
      <c r="U29" s="472">
        <f t="shared" si="5"/>
        <v>0</v>
      </c>
    </row>
    <row r="30" spans="1:21" x14ac:dyDescent="0.25">
      <c r="A30" s="605" t="s">
        <v>5</v>
      </c>
      <c r="B30" s="605"/>
      <c r="C30" s="94">
        <f>SUM(C14:C29)</f>
        <v>155.44</v>
      </c>
      <c r="D30" s="94">
        <f>SUM(D14:D29)</f>
        <v>154.88999999999999</v>
      </c>
      <c r="E30" s="97">
        <f>SUM(E14:E29)</f>
        <v>310.33000000000004</v>
      </c>
      <c r="F30" s="597"/>
      <c r="G30" s="597"/>
      <c r="H30" s="99">
        <f>SUM(H14:H29)</f>
        <v>313.18349999999998</v>
      </c>
      <c r="I30" s="94">
        <f>SUM(I14:I29)</f>
        <v>1737693.6400000001</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42">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44">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44">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44">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44">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36">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313.18349999999998</v>
      </c>
      <c r="F46" s="34"/>
      <c r="G46" s="106"/>
      <c r="H46" s="107" t="s">
        <v>98</v>
      </c>
      <c r="I46" s="94">
        <f>SUM(I44,I30)</f>
        <v>1737693.6400000001</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1737693.6400000001</v>
      </c>
      <c r="G51" s="109" t="s">
        <v>6</v>
      </c>
      <c r="H51" s="400">
        <v>5.5899999999999998E-2</v>
      </c>
      <c r="I51" s="101">
        <f>ROUND(F51*H51,2)</f>
        <v>97137.07</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1737693.6400000001</v>
      </c>
      <c r="G52" s="109" t="s">
        <v>6</v>
      </c>
      <c r="H52" s="400">
        <v>1.0699999999999999E-2</v>
      </c>
      <c r="I52" s="101">
        <f>ROUND(F52*H52,2)</f>
        <v>18593.32</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115730.39000000001</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22.5</v>
      </c>
      <c r="D63" s="143">
        <v>21.83</v>
      </c>
      <c r="E63" s="116">
        <f t="shared" si="10"/>
        <v>44.33</v>
      </c>
      <c r="F63" s="443" t="s">
        <v>14</v>
      </c>
      <c r="G63" s="442">
        <v>251</v>
      </c>
      <c r="H63" s="456">
        <f>'1461'!H63</f>
        <v>835</v>
      </c>
      <c r="I63" s="101">
        <f t="shared" si="11"/>
        <v>37015.550000000003</v>
      </c>
      <c r="N63" s="634"/>
      <c r="O63" s="634"/>
      <c r="P63" s="637"/>
      <c r="Q63" s="637"/>
      <c r="R63" s="40" t="s">
        <v>14</v>
      </c>
      <c r="S63" s="448">
        <v>251</v>
      </c>
      <c r="T63" s="459">
        <f t="shared" si="12"/>
        <v>835</v>
      </c>
      <c r="U63" s="473">
        <f t="shared" si="13"/>
        <v>0</v>
      </c>
      <c r="V63" s="423"/>
    </row>
    <row r="64" spans="1:22" x14ac:dyDescent="0.25">
      <c r="A64" s="604"/>
      <c r="B64" s="604"/>
      <c r="C64" s="143">
        <v>0.5</v>
      </c>
      <c r="D64" s="143">
        <v>0</v>
      </c>
      <c r="E64" s="116">
        <f t="shared" si="10"/>
        <v>0.5</v>
      </c>
      <c r="F64" s="443" t="s">
        <v>14</v>
      </c>
      <c r="G64" s="442">
        <v>252</v>
      </c>
      <c r="H64" s="456">
        <f>'1461'!H64</f>
        <v>3168</v>
      </c>
      <c r="I64" s="101">
        <f t="shared" si="11"/>
        <v>1584</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23</v>
      </c>
      <c r="D66" s="97">
        <f>SUM(D57:D65)</f>
        <v>21.83</v>
      </c>
      <c r="E66" s="97">
        <f>SUM(E57:E65)</f>
        <v>44.83</v>
      </c>
      <c r="F66" s="605" t="s">
        <v>446</v>
      </c>
      <c r="G66" s="605"/>
      <c r="H66" s="605"/>
      <c r="I66" s="97">
        <f>SUM(I57:I65)</f>
        <v>38599.550000000003</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310.33000000000004</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1.4760000000000001E-3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313.18349999999998</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1.333E-3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310.33000000000004</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1.6540000000000001E-3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310.33000000000004</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1.4790000000000001E-3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310.33000000000004</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1.6570000000000001E-3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1.4790000000000001E-3</v>
      </c>
      <c r="I85" s="101">
        <f>ROUND(F85*H85,2)</f>
        <v>68276.12</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53"/>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1.4760000000000001E-3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1.6570000000000001E-3</v>
      </c>
      <c r="I90" s="101">
        <f>ROUND(F90*H90,2)</f>
        <v>31552.639999999999</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1.6540000000000001E-3</v>
      </c>
      <c r="I92" s="101">
        <f t="shared" ref="I92:I96" si="14">ROUND(F92*H92,2)</f>
        <v>18923.66</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1.333E-3</v>
      </c>
      <c r="I94" s="101">
        <f t="shared" si="14"/>
        <v>340923.84</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1.333E-3</v>
      </c>
      <c r="I96" s="101">
        <f t="shared" si="14"/>
        <v>-2113.5500000000002</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1.4760000000000001E-3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313.18349999999998</v>
      </c>
      <c r="D106" s="611"/>
      <c r="E106" s="46">
        <f>H8</f>
        <v>1.0407999999999999</v>
      </c>
      <c r="F106" s="302">
        <f>'1461'!F106</f>
        <v>910.12</v>
      </c>
      <c r="G106" s="39" t="s">
        <v>12</v>
      </c>
      <c r="H106" s="94">
        <f>ROUND(C106*E106*F106,2)</f>
        <v>296663.98</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313.18349999999998</v>
      </c>
      <c r="D107" s="601"/>
      <c r="E107" s="123"/>
      <c r="F107" s="123"/>
      <c r="G107" s="123"/>
      <c r="H107" s="124" t="s">
        <v>100</v>
      </c>
      <c r="I107" s="101">
        <f>IF(A1=75,0,H106+H105+H104)</f>
        <v>296663.98</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2</v>
      </c>
      <c r="D113" s="143">
        <v>0</v>
      </c>
      <c r="E113" s="144">
        <f>(C113+D113)/2</f>
        <v>1</v>
      </c>
      <c r="F113" s="126" t="s">
        <v>30</v>
      </c>
      <c r="G113" s="303">
        <f>'1461'!G113</f>
        <v>567</v>
      </c>
      <c r="I113" s="101">
        <f>ROUND(G113*E113,2)</f>
        <v>567</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44">
        <f>C114</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42">
        <f>IF(D30=0,C121*2,C121+D121)</f>
        <v>0</v>
      </c>
      <c r="F121" s="690">
        <v>0</v>
      </c>
      <c r="G121" s="690"/>
      <c r="H121" s="61">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44">
        <f>IF(D31=0,C122*2,C122+D122)</f>
        <v>0</v>
      </c>
      <c r="F122" s="613">
        <f>ROUND(F121/2,2)</f>
        <v>0</v>
      </c>
      <c r="G122" s="613"/>
      <c r="H122" s="61">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44">
        <f>IF(D32=0,C123*2,C123+D123)</f>
        <v>0</v>
      </c>
      <c r="F123" s="614"/>
      <c r="G123" s="614"/>
      <c r="H123" s="63">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2531086.88</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2415356.4899999998</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2415356.4899999998</v>
      </c>
      <c r="I135" s="94">
        <f>ROUND(IF(E30=0,0,IF(E30&gt;250,-(((250/E30)*H135)*IF(G135="H",0.02,0.05)),IF(G135="H",-0.02*H135,-0.05*H135))),2)</f>
        <v>-97289.84</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2433797.04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-404879.06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2028917.98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202891.8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23477.98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67"/>
      <c r="Q149" s="73"/>
      <c r="R149" s="73"/>
      <c r="S149" s="73"/>
      <c r="T149" s="73"/>
      <c r="U149" s="73"/>
    </row>
    <row r="150" spans="1:21" x14ac:dyDescent="0.25">
      <c r="B150" s="69"/>
      <c r="C150" s="69"/>
      <c r="D150" s="69"/>
      <c r="E150" s="69"/>
      <c r="F150" s="69"/>
      <c r="G150" s="69"/>
      <c r="H150" s="65"/>
      <c r="I150" s="134"/>
      <c r="N150" s="73"/>
      <c r="O150" s="73"/>
      <c r="P150" s="367"/>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F110:I110"/>
    <mergeCell ref="N110:P110"/>
    <mergeCell ref="Q110:T11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T78:U78"/>
    <mergeCell ref="A96:C96"/>
    <mergeCell ref="N96:P96"/>
    <mergeCell ref="C102:D102"/>
    <mergeCell ref="C103:D103"/>
    <mergeCell ref="N103:O103"/>
    <mergeCell ref="P103:Q103"/>
    <mergeCell ref="N88:P88"/>
    <mergeCell ref="R103:U103"/>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354</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151"/>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5"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25.88</v>
      </c>
      <c r="D18" s="143">
        <v>25.38</v>
      </c>
      <c r="E18" s="116">
        <f t="shared" si="1"/>
        <v>51.26</v>
      </c>
      <c r="F18" s="678">
        <f>'1461'!F18:G18</f>
        <v>0.97799999999999998</v>
      </c>
      <c r="G18" s="678"/>
      <c r="H18" s="80">
        <f t="shared" si="2"/>
        <v>50.132300000000001</v>
      </c>
      <c r="I18" s="101">
        <f t="shared" si="3"/>
        <v>278158.26</v>
      </c>
      <c r="N18" s="616" t="s">
        <v>24</v>
      </c>
      <c r="O18" s="616"/>
      <c r="P18" s="657">
        <f t="shared" si="0"/>
        <v>0</v>
      </c>
      <c r="Q18" s="657"/>
      <c r="R18" s="662">
        <v>1</v>
      </c>
      <c r="S18" s="662"/>
      <c r="T18" s="95">
        <f t="shared" si="4"/>
        <v>0</v>
      </c>
      <c r="U18" s="472">
        <f t="shared" si="5"/>
        <v>0</v>
      </c>
    </row>
    <row r="19" spans="1:21" x14ac:dyDescent="0.25">
      <c r="A19" s="593" t="s">
        <v>25</v>
      </c>
      <c r="B19" s="593"/>
      <c r="C19" s="143">
        <v>3.5</v>
      </c>
      <c r="D19" s="143">
        <v>3.57</v>
      </c>
      <c r="E19" s="116">
        <f t="shared" si="1"/>
        <v>7.07</v>
      </c>
      <c r="F19" s="678">
        <f>'1461'!F19:G19</f>
        <v>0.97799999999999998</v>
      </c>
      <c r="G19" s="678"/>
      <c r="H19" s="80">
        <f t="shared" si="2"/>
        <v>6.9145000000000003</v>
      </c>
      <c r="I19" s="101">
        <f t="shared" si="3"/>
        <v>38364.99</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3.17</v>
      </c>
      <c r="D28" s="143">
        <v>4.1100000000000003</v>
      </c>
      <c r="E28" s="116">
        <f t="shared" si="1"/>
        <v>7.28</v>
      </c>
      <c r="F28" s="678">
        <f>'1461'!F28:G28</f>
        <v>1.1919999999999999</v>
      </c>
      <c r="G28" s="678"/>
      <c r="H28" s="80">
        <f t="shared" si="2"/>
        <v>8.6777999999999995</v>
      </c>
      <c r="I28" s="101">
        <f t="shared" si="3"/>
        <v>48148.63</v>
      </c>
      <c r="N28" s="616" t="s">
        <v>87</v>
      </c>
      <c r="O28" s="616"/>
      <c r="P28" s="657">
        <f t="shared" si="0"/>
        <v>0</v>
      </c>
      <c r="Q28" s="657"/>
      <c r="R28" s="662">
        <v>1</v>
      </c>
      <c r="S28" s="662"/>
      <c r="T28" s="95">
        <f t="shared" si="4"/>
        <v>0</v>
      </c>
      <c r="U28" s="472">
        <f t="shared" si="5"/>
        <v>0</v>
      </c>
    </row>
    <row r="29" spans="1:21" x14ac:dyDescent="0.25">
      <c r="A29" s="593" t="s">
        <v>88</v>
      </c>
      <c r="B29" s="593"/>
      <c r="C29" s="110">
        <v>1.78</v>
      </c>
      <c r="D29" s="110">
        <v>1.62</v>
      </c>
      <c r="E29" s="154">
        <f t="shared" si="1"/>
        <v>3.4000000000000004</v>
      </c>
      <c r="F29" s="678">
        <f>'1461'!F29:G29</f>
        <v>1.079</v>
      </c>
      <c r="G29" s="678"/>
      <c r="H29" s="93">
        <f t="shared" si="2"/>
        <v>3.6686000000000001</v>
      </c>
      <c r="I29" s="94">
        <f t="shared" si="3"/>
        <v>20355.169999999998</v>
      </c>
      <c r="N29" s="631" t="s">
        <v>88</v>
      </c>
      <c r="O29" s="631"/>
      <c r="P29" s="657">
        <f t="shared" si="0"/>
        <v>0</v>
      </c>
      <c r="Q29" s="657"/>
      <c r="R29" s="658">
        <v>1</v>
      </c>
      <c r="S29" s="658"/>
      <c r="T29" s="95">
        <f t="shared" si="4"/>
        <v>0</v>
      </c>
      <c r="U29" s="472">
        <f t="shared" si="5"/>
        <v>0</v>
      </c>
    </row>
    <row r="30" spans="1:21" x14ac:dyDescent="0.25">
      <c r="A30" s="605" t="s">
        <v>5</v>
      </c>
      <c r="B30" s="605"/>
      <c r="C30" s="94">
        <f>SUM(C14:C29)</f>
        <v>34.33</v>
      </c>
      <c r="D30" s="94">
        <f>SUM(D14:D29)</f>
        <v>34.68</v>
      </c>
      <c r="E30" s="94">
        <f>SUM(E14:E29)</f>
        <v>69.010000000000005</v>
      </c>
      <c r="F30" s="597"/>
      <c r="G30" s="597"/>
      <c r="H30" s="99">
        <f>SUM(H14:H29)</f>
        <v>69.393200000000007</v>
      </c>
      <c r="I30" s="94">
        <f>SUM(I14:I29)</f>
        <v>385027.05</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69.393200000000007</v>
      </c>
      <c r="F46" s="34"/>
      <c r="G46" s="106"/>
      <c r="H46" s="107" t="s">
        <v>98</v>
      </c>
      <c r="I46" s="94">
        <f>SUM(I44,I30)</f>
        <v>385027.05</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385027.05</v>
      </c>
      <c r="G51" s="109" t="s">
        <v>6</v>
      </c>
      <c r="H51" s="400">
        <v>5.5899999999999998E-2</v>
      </c>
      <c r="I51" s="101">
        <f>ROUND(F51*H51,2)</f>
        <v>21523.01</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385027.05</v>
      </c>
      <c r="G52" s="109" t="s">
        <v>6</v>
      </c>
      <c r="H52" s="400">
        <v>1.0699999999999999E-2</v>
      </c>
      <c r="I52" s="101">
        <f>ROUND(F52*H52,2)</f>
        <v>4119.79</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25642.799999999999</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IF(D$66=0,C57*2,C57+D57)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3</v>
      </c>
      <c r="D63" s="143">
        <v>3.06</v>
      </c>
      <c r="E63" s="116">
        <f t="shared" si="10"/>
        <v>6.0600000000000005</v>
      </c>
      <c r="F63" s="443" t="s">
        <v>14</v>
      </c>
      <c r="G63" s="442">
        <v>251</v>
      </c>
      <c r="H63" s="456">
        <f>'1461'!H63</f>
        <v>835</v>
      </c>
      <c r="I63" s="101">
        <f t="shared" si="11"/>
        <v>5060.1000000000004</v>
      </c>
      <c r="N63" s="634"/>
      <c r="O63" s="634"/>
      <c r="P63" s="637"/>
      <c r="Q63" s="637"/>
      <c r="R63" s="40" t="s">
        <v>14</v>
      </c>
      <c r="S63" s="448">
        <v>251</v>
      </c>
      <c r="T63" s="459">
        <f t="shared" si="12"/>
        <v>835</v>
      </c>
      <c r="U63" s="473">
        <f t="shared" si="13"/>
        <v>0</v>
      </c>
      <c r="V63" s="423"/>
    </row>
    <row r="64" spans="1:22" x14ac:dyDescent="0.25">
      <c r="A64" s="604"/>
      <c r="B64" s="604"/>
      <c r="C64" s="143">
        <v>0.5</v>
      </c>
      <c r="D64" s="143">
        <v>0.51</v>
      </c>
      <c r="E64" s="116">
        <f t="shared" si="10"/>
        <v>1.01</v>
      </c>
      <c r="F64" s="443" t="s">
        <v>14</v>
      </c>
      <c r="G64" s="442">
        <v>252</v>
      </c>
      <c r="H64" s="456">
        <f>'1461'!H64</f>
        <v>3168</v>
      </c>
      <c r="I64" s="101">
        <f t="shared" si="11"/>
        <v>3199.68</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3.5</v>
      </c>
      <c r="D66" s="97">
        <f>SUM(D57:D65)</f>
        <v>3.5700000000000003</v>
      </c>
      <c r="E66" s="97">
        <f>SUM(E57:E65)</f>
        <v>7.07</v>
      </c>
      <c r="F66" s="605" t="s">
        <v>446</v>
      </c>
      <c r="G66" s="605"/>
      <c r="H66" s="605"/>
      <c r="I66" s="97">
        <f>SUM(I57:I65)</f>
        <v>8259.7800000000007</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69.010000000000005</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3.28E-4</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69.393200000000007</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2.9500000000000001E-4</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69.010000000000005</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3.68E-4</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69.010000000000005</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3.2899999999999997E-4</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69.010000000000005</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3.68E-4</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3.2899999999999997E-4</v>
      </c>
      <c r="I85" s="101">
        <f>ROUND(F85*H85,2)</f>
        <v>15187.86</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3.28E-4</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3.68E-4</v>
      </c>
      <c r="I90" s="101">
        <f>ROUND(F90*H90,2)</f>
        <v>7007.47</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3.68E-4</v>
      </c>
      <c r="I92" s="101">
        <f t="shared" ref="I92:I96" si="14">ROUND(F92*H92,2)</f>
        <v>4210.34</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2.9500000000000001E-4</v>
      </c>
      <c r="I94" s="101">
        <f t="shared" si="14"/>
        <v>75448.259999999995</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2.9500000000000001E-4</v>
      </c>
      <c r="I96" s="101">
        <f t="shared" si="14"/>
        <v>-467.74</v>
      </c>
      <c r="N96" s="615" t="s">
        <v>421</v>
      </c>
      <c r="O96" s="616"/>
      <c r="P96" s="616"/>
      <c r="Q96" s="44"/>
      <c r="R96" s="418">
        <f t="shared" si="15"/>
        <v>-1585559</v>
      </c>
      <c r="S96" s="38" t="s">
        <v>6</v>
      </c>
      <c r="T96" s="420">
        <f>T73</f>
        <v>0</v>
      </c>
      <c r="U96" s="472">
        <f>ROUND(R96*T96,2)</f>
        <v>0</v>
      </c>
    </row>
    <row r="97" spans="1:21" x14ac:dyDescent="0.25">
      <c r="A97" s="81"/>
      <c r="B97" s="69"/>
      <c r="C97" s="69"/>
      <c r="D97" s="69"/>
      <c r="E97" s="43"/>
      <c r="F97" s="117"/>
      <c r="G97" s="37"/>
      <c r="H97" s="421"/>
      <c r="I97" s="101"/>
      <c r="N97" s="382"/>
      <c r="O97" s="45"/>
      <c r="P97" s="45"/>
      <c r="Q97" s="44"/>
      <c r="R97" s="419"/>
      <c r="S97" s="38"/>
      <c r="T97" s="420"/>
      <c r="U97" s="103"/>
    </row>
    <row r="98" spans="1:21" x14ac:dyDescent="0.25">
      <c r="A98" s="529" t="s">
        <v>495</v>
      </c>
      <c r="B98" s="528"/>
      <c r="C98" s="528"/>
      <c r="D98" s="528"/>
      <c r="E98" s="526" t="s">
        <v>3</v>
      </c>
      <c r="F98" s="289">
        <v>0</v>
      </c>
      <c r="G98" s="527" t="s">
        <v>6</v>
      </c>
      <c r="H98" s="421">
        <f>H70</f>
        <v>3.28E-4</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69.393200000000007</v>
      </c>
      <c r="D106" s="611"/>
      <c r="E106" s="46">
        <f>H8</f>
        <v>1.0407999999999999</v>
      </c>
      <c r="F106" s="302">
        <f>'1461'!F106</f>
        <v>910.12</v>
      </c>
      <c r="G106" s="39" t="s">
        <v>12</v>
      </c>
      <c r="H106" s="94">
        <f>ROUND(C106*E106*F106,2)</f>
        <v>65732.91</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69.393200000000007</v>
      </c>
      <c r="D107" s="601"/>
      <c r="E107" s="123"/>
      <c r="F107" s="123"/>
      <c r="G107" s="123"/>
      <c r="H107" s="124" t="s">
        <v>100</v>
      </c>
      <c r="I107" s="101">
        <f>IF(A1=75,0,H106+H105+H104)</f>
        <v>65732.91</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5"/>
      <c r="D112" s="323"/>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(C113+D113)/2</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560405.93000000005</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534763.13</v>
      </c>
      <c r="N130" s="616" t="s">
        <v>432</v>
      </c>
      <c r="O130" s="616"/>
      <c r="P130" s="616"/>
      <c r="Q130" s="616"/>
      <c r="R130" s="616"/>
      <c r="S130" s="616"/>
      <c r="T130" s="61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t="str">
        <f>IF(E30=0,"",IF((E15+E17+SUM(E19:E25))/E30&gt;0.75,1,""))</f>
        <v/>
      </c>
      <c r="I133" s="116">
        <f>U130</f>
        <v>0</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534763.13</v>
      </c>
      <c r="I135" s="94">
        <f>ROUND(IF(E30=0,0,IF(E30&gt;250,-(((250/E30)*H135)*IF(G135="H",0.02,0.05)),IF(G135="H",-0.02*H135,-0.05*H135))),2)</f>
        <v>-26738.16</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533667.77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-88774.59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444893.18000000005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44489.32</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19" t="str">
        <f>'1461'!A152</f>
        <v>(a) Additional FTE includes FTE earned through Advanced Placement, International Baccalaureate, Advanced International Certificate of Education, Industry Certified Career</v>
      </c>
      <c r="B152" s="385"/>
      <c r="C152" s="385"/>
      <c r="D152" s="385"/>
      <c r="E152" s="385"/>
      <c r="F152" s="385"/>
      <c r="G152" s="385"/>
      <c r="H152" s="385"/>
      <c r="I152" s="385"/>
      <c r="J152" s="77"/>
      <c r="K152" s="76"/>
      <c r="L152" s="76"/>
      <c r="M152" s="76"/>
      <c r="N152" s="73"/>
      <c r="O152" s="73"/>
      <c r="P152" s="73"/>
      <c r="Q152" s="73"/>
      <c r="R152" s="73"/>
      <c r="S152" s="73"/>
      <c r="T152" s="73"/>
      <c r="U152" s="73"/>
    </row>
    <row r="153" spans="1:21" ht="15.75" customHeight="1" x14ac:dyDescent="0.25">
      <c r="A153" s="350" t="s">
        <v>372</v>
      </c>
      <c r="B153" s="385"/>
      <c r="C153" s="385"/>
      <c r="D153" s="385"/>
      <c r="E153" s="385"/>
      <c r="F153" s="385"/>
      <c r="G153" s="385"/>
      <c r="H153" s="385"/>
      <c r="I153" s="385"/>
      <c r="J153" s="77"/>
      <c r="K153" s="76"/>
      <c r="L153" s="76"/>
      <c r="M153" s="76"/>
      <c r="N153" s="73"/>
      <c r="O153" s="73"/>
      <c r="P153" s="73"/>
      <c r="Q153" s="73"/>
      <c r="R153" s="73"/>
      <c r="S153" s="73"/>
      <c r="T153" s="73"/>
      <c r="U153" s="73"/>
    </row>
    <row r="154" spans="1:21" x14ac:dyDescent="0.25">
      <c r="A154" s="319" t="s">
        <v>373</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19" t="s">
        <v>374</v>
      </c>
      <c r="B155" s="251"/>
      <c r="C155" s="251"/>
      <c r="D155" s="251"/>
      <c r="E155" s="251"/>
      <c r="F155" s="251"/>
      <c r="G155" s="251"/>
      <c r="H155" s="251"/>
      <c r="I155" s="251"/>
      <c r="N155" s="640"/>
      <c r="O155" s="640"/>
      <c r="P155" s="640"/>
      <c r="Q155" s="640"/>
      <c r="R155" s="640"/>
      <c r="S155" s="640"/>
      <c r="T155" s="640"/>
      <c r="U155" s="640"/>
    </row>
    <row r="156" spans="1:21" s="76" customFormat="1" x14ac:dyDescent="0.2">
      <c r="A156" s="319" t="s">
        <v>375</v>
      </c>
      <c r="B156" s="251"/>
      <c r="C156" s="251"/>
      <c r="D156" s="251"/>
      <c r="E156" s="251"/>
      <c r="F156" s="251"/>
      <c r="G156" s="251"/>
      <c r="H156" s="251"/>
      <c r="I156" s="251"/>
      <c r="N156" s="73"/>
      <c r="O156" s="73"/>
      <c r="P156" s="73"/>
      <c r="Q156" s="73"/>
      <c r="R156" s="73"/>
      <c r="S156" s="73"/>
      <c r="T156" s="73"/>
      <c r="U156" s="73"/>
    </row>
    <row r="157" spans="1:21" s="76" customFormat="1" x14ac:dyDescent="0.2">
      <c r="A157" s="319" t="s">
        <v>376</v>
      </c>
      <c r="B157" s="251"/>
      <c r="C157" s="251"/>
      <c r="D157" s="251"/>
      <c r="E157" s="251"/>
      <c r="F157" s="251"/>
      <c r="G157" s="251"/>
      <c r="H157" s="251"/>
      <c r="I157" s="251"/>
      <c r="N157" s="78"/>
      <c r="O157" s="79"/>
      <c r="P157" s="79"/>
      <c r="Q157" s="79"/>
      <c r="R157" s="79"/>
      <c r="S157" s="79"/>
      <c r="T157" s="79"/>
      <c r="U157" s="79"/>
    </row>
    <row r="158" spans="1:21" s="76" customFormat="1" x14ac:dyDescent="0.2">
      <c r="A158" s="319" t="s">
        <v>377</v>
      </c>
      <c r="B158" s="251"/>
      <c r="C158" s="251"/>
      <c r="D158" s="251"/>
      <c r="E158" s="251"/>
      <c r="F158" s="251"/>
      <c r="G158" s="251"/>
      <c r="H158" s="251"/>
      <c r="I158" s="251"/>
      <c r="N158" s="78"/>
    </row>
    <row r="159" spans="1:21" s="76" customFormat="1" x14ac:dyDescent="0.2">
      <c r="A159" s="319" t="s">
        <v>379</v>
      </c>
      <c r="B159" s="251"/>
      <c r="C159" s="251"/>
      <c r="D159" s="251"/>
      <c r="E159" s="251"/>
      <c r="F159" s="251"/>
      <c r="G159" s="251"/>
      <c r="H159" s="251"/>
      <c r="I159" s="251"/>
      <c r="N159" s="78"/>
    </row>
    <row r="160" spans="1:21" s="76" customFormat="1" x14ac:dyDescent="0.2">
      <c r="A160" s="384" t="s">
        <v>378</v>
      </c>
      <c r="B160" s="251"/>
      <c r="C160" s="251"/>
      <c r="D160" s="251"/>
      <c r="E160" s="251"/>
      <c r="F160" s="251"/>
      <c r="G160" s="251"/>
      <c r="H160" s="251"/>
      <c r="I160" s="251"/>
      <c r="N160" s="78"/>
    </row>
    <row r="161" spans="1:14" s="76" customFormat="1" x14ac:dyDescent="0.2">
      <c r="A161" s="319" t="s">
        <v>380</v>
      </c>
      <c r="B161" s="251"/>
      <c r="C161" s="251"/>
      <c r="D161" s="251"/>
      <c r="E161" s="251"/>
      <c r="F161" s="251"/>
      <c r="G161" s="251"/>
      <c r="H161" s="251"/>
      <c r="I161" s="251"/>
      <c r="N161" s="78"/>
    </row>
    <row r="162" spans="1:14" s="76" customFormat="1" x14ac:dyDescent="0.2">
      <c r="A162" s="350" t="str">
        <f>'1461'!A162</f>
        <v>"All Adjusted ESE Riders" should include only ESE Riders.</v>
      </c>
      <c r="B162" s="251"/>
      <c r="C162" s="251"/>
      <c r="D162" s="251"/>
      <c r="E162" s="251"/>
      <c r="F162" s="251"/>
      <c r="G162" s="251"/>
      <c r="H162" s="251"/>
      <c r="I162" s="251"/>
      <c r="N162" s="78"/>
    </row>
    <row r="163" spans="1:14" s="76" customFormat="1" x14ac:dyDescent="0.2">
      <c r="A163" s="319" t="s">
        <v>383</v>
      </c>
      <c r="B163" s="251"/>
      <c r="C163" s="251"/>
      <c r="D163" s="251"/>
      <c r="E163" s="251"/>
      <c r="F163" s="251"/>
      <c r="G163" s="251"/>
      <c r="H163" s="251"/>
      <c r="I163" s="251"/>
      <c r="N163" s="78"/>
    </row>
    <row r="164" spans="1:14" s="76" customFormat="1" ht="15.75" customHeight="1" x14ac:dyDescent="0.2">
      <c r="A164" s="319"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19" t="s">
        <v>385</v>
      </c>
      <c r="B165" s="292"/>
      <c r="C165" s="292"/>
      <c r="D165" s="292"/>
      <c r="E165" s="292"/>
      <c r="F165" s="292"/>
      <c r="G165" s="292"/>
      <c r="H165" s="292"/>
      <c r="I165" s="292"/>
      <c r="N165" s="78"/>
    </row>
    <row r="166" spans="1:14" s="76" customFormat="1" ht="15.75" customHeight="1" x14ac:dyDescent="0.2">
      <c r="A166" s="350" t="s">
        <v>384</v>
      </c>
      <c r="B166" s="292"/>
      <c r="C166" s="292"/>
      <c r="D166" s="292"/>
      <c r="E166" s="292"/>
      <c r="F166" s="292"/>
      <c r="G166" s="292"/>
      <c r="H166" s="292"/>
      <c r="I166" s="292"/>
      <c r="N166" s="78"/>
    </row>
    <row r="167" spans="1:14" s="76" customFormat="1" ht="15.75" customHeight="1" x14ac:dyDescent="0.2">
      <c r="A167" s="319" t="s">
        <v>386</v>
      </c>
      <c r="B167" s="342"/>
      <c r="C167" s="342"/>
      <c r="D167" s="342"/>
      <c r="E167" s="342"/>
      <c r="F167" s="342"/>
      <c r="G167" s="342"/>
      <c r="H167" s="342"/>
      <c r="I167" s="342"/>
      <c r="N167" s="78"/>
    </row>
    <row r="168" spans="1:14" s="76" customFormat="1" ht="15.75" customHeight="1" x14ac:dyDescent="0.2">
      <c r="A168" s="350" t="str">
        <f>'1461'!A168</f>
        <v xml:space="preserve">unweighted full-time equivalent students. </v>
      </c>
      <c r="B168" s="342"/>
      <c r="C168" s="342"/>
      <c r="D168" s="342"/>
      <c r="E168" s="342"/>
      <c r="F168" s="342"/>
      <c r="G168" s="342"/>
      <c r="H168" s="342"/>
      <c r="I168" s="342"/>
      <c r="N168" s="78"/>
    </row>
    <row r="169" spans="1:14" s="76" customFormat="1" ht="15.75" customHeight="1" x14ac:dyDescent="0.2">
      <c r="A169" s="319" t="s">
        <v>388</v>
      </c>
      <c r="B169" s="342"/>
      <c r="C169" s="342"/>
      <c r="D169" s="342"/>
      <c r="E169" s="342"/>
      <c r="F169" s="342"/>
      <c r="G169" s="342"/>
      <c r="H169" s="342"/>
      <c r="I169" s="342"/>
      <c r="N169" s="78"/>
    </row>
    <row r="170" spans="1:14" s="76" customFormat="1" ht="15.75" customHeight="1" x14ac:dyDescent="0.2">
      <c r="A170" s="350" t="s">
        <v>387</v>
      </c>
      <c r="B170" s="342"/>
      <c r="C170" s="342"/>
      <c r="D170" s="342"/>
      <c r="E170" s="342"/>
      <c r="F170" s="342"/>
      <c r="G170" s="342"/>
      <c r="H170" s="342"/>
      <c r="I170" s="342"/>
      <c r="N170" s="78"/>
    </row>
    <row r="171" spans="1:14" s="76" customFormat="1" ht="15.75" customHeight="1" x14ac:dyDescent="0.2">
      <c r="A171" s="319"/>
      <c r="B171" s="342"/>
      <c r="C171" s="342"/>
      <c r="D171" s="342"/>
      <c r="E171" s="342"/>
      <c r="F171" s="342"/>
      <c r="G171" s="342"/>
      <c r="H171" s="342"/>
      <c r="I171" s="342"/>
      <c r="N171" s="78"/>
    </row>
    <row r="172" spans="1:14" s="76" customFormat="1" ht="15.75" customHeight="1" x14ac:dyDescent="0.25">
      <c r="A172" s="358"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59"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60"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60" t="s">
        <v>389</v>
      </c>
      <c r="B175" s="292"/>
      <c r="C175" s="292"/>
      <c r="D175" s="292"/>
      <c r="E175" s="292"/>
      <c r="F175" s="292"/>
      <c r="G175" s="292"/>
      <c r="H175" s="292"/>
      <c r="I175" s="292"/>
      <c r="J175" s="3"/>
      <c r="K175" s="3"/>
      <c r="L175" s="3"/>
      <c r="M175" s="3"/>
      <c r="N175" s="78"/>
    </row>
    <row r="176" spans="1:14" s="76" customFormat="1" ht="15.75" customHeight="1" x14ac:dyDescent="0.2">
      <c r="A176" s="360" t="s">
        <v>390</v>
      </c>
      <c r="B176" s="354"/>
      <c r="C176" s="354"/>
      <c r="D176" s="354"/>
      <c r="E176" s="354"/>
      <c r="F176" s="354"/>
      <c r="G176" s="354"/>
      <c r="H176" s="354"/>
      <c r="I176" s="354"/>
      <c r="N176" s="78"/>
    </row>
    <row r="177" spans="1:21" s="76" customFormat="1" ht="15.75" customHeight="1" x14ac:dyDescent="0.2">
      <c r="A177" s="359"/>
      <c r="B177" s="354"/>
      <c r="C177" s="354"/>
      <c r="D177" s="354"/>
      <c r="E177" s="354"/>
      <c r="F177" s="354"/>
      <c r="G177" s="354"/>
      <c r="H177" s="354"/>
      <c r="I177" s="354"/>
      <c r="N177" s="78"/>
    </row>
    <row r="178" spans="1:21" ht="15.75" customHeight="1" x14ac:dyDescent="0.25">
      <c r="A178" s="359"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60" t="str">
        <f>'1461'!A179</f>
        <v>funding for which charter students may be eligible.  To calculate the administrative fee to be withheld for schools with more than 250 students, divide the school</v>
      </c>
      <c r="B179" s="342"/>
      <c r="C179" s="342"/>
      <c r="D179" s="342"/>
      <c r="E179" s="342"/>
      <c r="F179" s="342"/>
      <c r="G179" s="342"/>
      <c r="H179" s="342"/>
      <c r="I179" s="342"/>
      <c r="J179" s="76"/>
      <c r="K179" s="76"/>
      <c r="L179" s="76"/>
      <c r="M179" s="76"/>
      <c r="N179" s="74"/>
    </row>
    <row r="180" spans="1:21" s="76" customFormat="1" ht="15.75" customHeight="1" x14ac:dyDescent="0.25">
      <c r="A180" s="360"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19"/>
      <c r="N181" s="78"/>
      <c r="O181" s="76"/>
      <c r="P181" s="76"/>
      <c r="Q181" s="76"/>
      <c r="R181" s="76"/>
      <c r="S181" s="76"/>
      <c r="T181" s="76"/>
      <c r="U181" s="76"/>
    </row>
    <row r="182" spans="1:21" x14ac:dyDescent="0.25">
      <c r="A182" s="358" t="str">
        <f>'1461'!A182</f>
        <v>Other:</v>
      </c>
      <c r="N182" s="78"/>
      <c r="O182" s="76"/>
      <c r="P182" s="76"/>
      <c r="Q182" s="76"/>
      <c r="R182" s="76"/>
      <c r="S182" s="76"/>
      <c r="T182" s="76"/>
      <c r="U182" s="76"/>
    </row>
    <row r="183" spans="1:21" x14ac:dyDescent="0.25">
      <c r="A183" s="359"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62" t="str">
        <f>'1461'!A184</f>
        <v>by the Commissioner of Education.</v>
      </c>
      <c r="N184" s="74"/>
    </row>
    <row r="185" spans="1:21" x14ac:dyDescent="0.25">
      <c r="A185" s="359"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274</v>
      </c>
      <c r="C2" s="171"/>
      <c r="D2" s="171"/>
      <c r="E2" s="161"/>
      <c r="F2" s="161"/>
      <c r="G2" s="161"/>
      <c r="H2" s="161"/>
    </row>
    <row r="3" spans="1:11" x14ac:dyDescent="0.25">
      <c r="B3" s="172" t="s">
        <v>259</v>
      </c>
      <c r="C3" s="172"/>
      <c r="D3" s="172"/>
      <c r="E3" s="282" t="str">
        <f>'1461'!F4</f>
        <v>September 2024</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4">
        <v>885681905</v>
      </c>
      <c r="F8" s="158"/>
      <c r="G8" s="158"/>
      <c r="H8" s="158"/>
      <c r="K8" s="248" t="s">
        <v>267</v>
      </c>
    </row>
    <row r="9" spans="1:11" x14ac:dyDescent="0.25">
      <c r="A9" s="158"/>
      <c r="B9" s="173" t="s">
        <v>237</v>
      </c>
      <c r="C9" s="173"/>
      <c r="D9" s="173"/>
      <c r="E9" s="244">
        <v>0</v>
      </c>
      <c r="F9" s="158"/>
      <c r="G9" s="158"/>
      <c r="H9" s="158"/>
      <c r="K9" s="248" t="s">
        <v>267</v>
      </c>
    </row>
    <row r="10" spans="1:11" x14ac:dyDescent="0.25">
      <c r="A10" s="158"/>
      <c r="B10" s="162" t="s">
        <v>138</v>
      </c>
      <c r="C10" s="162"/>
      <c r="D10" s="162"/>
      <c r="E10" s="244">
        <v>126865223</v>
      </c>
      <c r="F10" s="158"/>
      <c r="G10" s="158"/>
      <c r="H10" s="158"/>
      <c r="K10" s="248" t="s">
        <v>267</v>
      </c>
    </row>
    <row r="11" spans="1:11" x14ac:dyDescent="0.25">
      <c r="A11" s="158"/>
      <c r="B11" s="162" t="s">
        <v>139</v>
      </c>
      <c r="C11" s="162"/>
      <c r="D11" s="162"/>
      <c r="E11" s="244">
        <v>0</v>
      </c>
      <c r="F11" s="158"/>
      <c r="G11" s="158"/>
      <c r="H11" s="158"/>
      <c r="K11" s="248" t="s">
        <v>267</v>
      </c>
    </row>
    <row r="12" spans="1:11" x14ac:dyDescent="0.25">
      <c r="A12" s="158"/>
      <c r="B12" s="162" t="s">
        <v>140</v>
      </c>
      <c r="C12" s="162"/>
      <c r="D12" s="162"/>
      <c r="E12" s="244">
        <v>8613749</v>
      </c>
      <c r="F12" s="158"/>
      <c r="G12" s="158"/>
      <c r="H12" s="158"/>
      <c r="K12" s="248" t="s">
        <v>267</v>
      </c>
    </row>
    <row r="13" spans="1:11" x14ac:dyDescent="0.25">
      <c r="A13" s="158"/>
      <c r="B13" s="162" t="s">
        <v>141</v>
      </c>
      <c r="C13" s="162"/>
      <c r="D13" s="162"/>
      <c r="E13" s="244">
        <v>14865036</v>
      </c>
      <c r="F13" s="158"/>
      <c r="G13" s="158"/>
      <c r="H13" s="158"/>
      <c r="K13" s="248" t="s">
        <v>267</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5">
        <v>187935.23</v>
      </c>
      <c r="F16" s="158"/>
      <c r="G16" s="158"/>
      <c r="H16" s="158"/>
      <c r="K16" s="248" t="s">
        <v>267</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245</v>
      </c>
      <c r="C22" s="167"/>
      <c r="D22" s="167"/>
      <c r="E22" s="246">
        <v>0</v>
      </c>
      <c r="F22" s="158"/>
      <c r="G22" s="158"/>
      <c r="H22" s="158"/>
    </row>
    <row r="23" spans="1:8" x14ac:dyDescent="0.25">
      <c r="A23" s="158"/>
      <c r="B23" s="258" t="s">
        <v>246</v>
      </c>
      <c r="C23" s="167"/>
      <c r="D23" s="167"/>
      <c r="E23" s="247">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247</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249</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270</v>
      </c>
      <c r="B41" s="294"/>
      <c r="C41" s="294"/>
      <c r="D41" s="294"/>
      <c r="E41" s="294"/>
    </row>
    <row r="42" spans="1:8" x14ac:dyDescent="0.25">
      <c r="A42" s="293" t="s">
        <v>271</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106" workbookViewId="0">
      <selection activeCell="A133" sqref="A133:G1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110</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302.58999999999997</v>
      </c>
      <c r="D18" s="143">
        <v>282.24</v>
      </c>
      <c r="E18" s="116">
        <f t="shared" si="1"/>
        <v>584.82999999999993</v>
      </c>
      <c r="F18" s="678">
        <f>'1461'!F18:G18</f>
        <v>0.97799999999999998</v>
      </c>
      <c r="G18" s="678"/>
      <c r="H18" s="80">
        <f t="shared" si="2"/>
        <v>571.96370000000002</v>
      </c>
      <c r="I18" s="101">
        <f t="shared" si="3"/>
        <v>3173531.43</v>
      </c>
      <c r="N18" s="616" t="s">
        <v>24</v>
      </c>
      <c r="O18" s="616"/>
      <c r="P18" s="657">
        <f t="shared" si="0"/>
        <v>0</v>
      </c>
      <c r="Q18" s="657"/>
      <c r="R18" s="662">
        <v>1</v>
      </c>
      <c r="S18" s="662"/>
      <c r="T18" s="95">
        <f t="shared" si="4"/>
        <v>0</v>
      </c>
      <c r="U18" s="472">
        <f t="shared" si="5"/>
        <v>0</v>
      </c>
    </row>
    <row r="19" spans="1:21" x14ac:dyDescent="0.25">
      <c r="A19" s="593" t="s">
        <v>25</v>
      </c>
      <c r="B19" s="593"/>
      <c r="C19" s="143">
        <v>114.3</v>
      </c>
      <c r="D19" s="143">
        <v>111.31</v>
      </c>
      <c r="E19" s="116">
        <f t="shared" si="1"/>
        <v>225.61</v>
      </c>
      <c r="F19" s="678">
        <f>'1461'!F19:G19</f>
        <v>0.97799999999999998</v>
      </c>
      <c r="G19" s="678"/>
      <c r="H19" s="80">
        <f t="shared" si="2"/>
        <v>220.64660000000001</v>
      </c>
      <c r="I19" s="101">
        <f t="shared" si="3"/>
        <v>1224254.1299999999</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1.7</v>
      </c>
      <c r="D28" s="143">
        <v>1.48</v>
      </c>
      <c r="E28" s="116">
        <f t="shared" si="1"/>
        <v>3.1799999999999997</v>
      </c>
      <c r="F28" s="678">
        <f>'1461'!F28:G28</f>
        <v>1.1919999999999999</v>
      </c>
      <c r="G28" s="678"/>
      <c r="H28" s="80">
        <f t="shared" si="2"/>
        <v>3.7906</v>
      </c>
      <c r="I28" s="101">
        <f t="shared" si="3"/>
        <v>21032.080000000002</v>
      </c>
      <c r="N28" s="616" t="s">
        <v>87</v>
      </c>
      <c r="O28" s="616"/>
      <c r="P28" s="657">
        <f t="shared" si="0"/>
        <v>0</v>
      </c>
      <c r="Q28" s="657"/>
      <c r="R28" s="662">
        <v>1</v>
      </c>
      <c r="S28" s="662"/>
      <c r="T28" s="95">
        <f t="shared" si="4"/>
        <v>0</v>
      </c>
      <c r="U28" s="472">
        <f t="shared" si="5"/>
        <v>0</v>
      </c>
    </row>
    <row r="29" spans="1:21" x14ac:dyDescent="0.25">
      <c r="A29" s="593" t="s">
        <v>88</v>
      </c>
      <c r="B29" s="593"/>
      <c r="C29" s="110">
        <v>112.63</v>
      </c>
      <c r="D29" s="110">
        <v>124.03</v>
      </c>
      <c r="E29" s="154">
        <f t="shared" si="1"/>
        <v>236.66</v>
      </c>
      <c r="F29" s="678">
        <f>'1461'!F29:G29</f>
        <v>1.079</v>
      </c>
      <c r="G29" s="678"/>
      <c r="H29" s="93">
        <f t="shared" si="2"/>
        <v>255.3561</v>
      </c>
      <c r="I29" s="94">
        <f t="shared" si="3"/>
        <v>1416839.23</v>
      </c>
      <c r="N29" s="631" t="s">
        <v>88</v>
      </c>
      <c r="O29" s="631"/>
      <c r="P29" s="657">
        <f t="shared" si="0"/>
        <v>0</v>
      </c>
      <c r="Q29" s="657"/>
      <c r="R29" s="658">
        <v>1</v>
      </c>
      <c r="S29" s="658"/>
      <c r="T29" s="95">
        <f t="shared" si="4"/>
        <v>0</v>
      </c>
      <c r="U29" s="472">
        <f t="shared" si="5"/>
        <v>0</v>
      </c>
    </row>
    <row r="30" spans="1:21" x14ac:dyDescent="0.25">
      <c r="A30" s="605" t="s">
        <v>5</v>
      </c>
      <c r="B30" s="605"/>
      <c r="C30" s="94">
        <f>SUM(C14:C29)</f>
        <v>531.22</v>
      </c>
      <c r="D30" s="94">
        <f>SUM(D14:D29)</f>
        <v>519.06000000000006</v>
      </c>
      <c r="E30" s="94">
        <f>SUM(E14:E29)</f>
        <v>1050.28</v>
      </c>
      <c r="F30" s="597"/>
      <c r="G30" s="597"/>
      <c r="H30" s="99">
        <f>SUM(H14:H29)</f>
        <v>1051.7570000000001</v>
      </c>
      <c r="I30" s="94">
        <f>SUM(I14:I29)</f>
        <v>5835656.870000001</v>
      </c>
      <c r="N30" s="659" t="s">
        <v>5</v>
      </c>
      <c r="O30" s="659"/>
      <c r="P30" s="660">
        <f>SUM(P14:P29)</f>
        <v>0</v>
      </c>
      <c r="Q30" s="660"/>
      <c r="R30" s="632"/>
      <c r="S30" s="632"/>
      <c r="T30" s="100">
        <f>SUM(T14:T29)</f>
        <v>0</v>
      </c>
      <c r="U30" s="47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1051.7570000000001</v>
      </c>
      <c r="F46" s="34"/>
      <c r="G46" s="106"/>
      <c r="H46" s="107" t="s">
        <v>98</v>
      </c>
      <c r="I46" s="94">
        <f>SUM(I44,I30)</f>
        <v>5835656.870000001</v>
      </c>
      <c r="N46" s="618" t="s">
        <v>44</v>
      </c>
      <c r="O46" s="618"/>
      <c r="P46" s="618"/>
      <c r="Q46" s="618"/>
      <c r="R46" s="35">
        <f>R44+T30</f>
        <v>0</v>
      </c>
      <c r="S46" s="632" t="s">
        <v>42</v>
      </c>
      <c r="T46" s="63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5835656.870000001</v>
      </c>
      <c r="G51" s="109" t="s">
        <v>6</v>
      </c>
      <c r="H51" s="400">
        <v>5.5899999999999998E-2</v>
      </c>
      <c r="I51" s="101">
        <f>ROUND(F51*H51,2)</f>
        <v>326213.21999999997</v>
      </c>
      <c r="N51" s="405"/>
      <c r="O51" s="406" t="s">
        <v>513</v>
      </c>
      <c r="P51" s="28"/>
      <c r="Q51" s="44" t="s">
        <v>399</v>
      </c>
      <c r="R51" s="407">
        <f>U30</f>
        <v>0</v>
      </c>
      <c r="S51" s="408" t="s">
        <v>6</v>
      </c>
      <c r="T51" s="409">
        <v>5.5899999999999998E-2</v>
      </c>
      <c r="U51" s="401">
        <f>ROUND(R51*T51,2)</f>
        <v>0</v>
      </c>
    </row>
    <row r="52" spans="1:22" x14ac:dyDescent="0.25">
      <c r="A52" s="26"/>
      <c r="B52" s="558" t="s">
        <v>522</v>
      </c>
      <c r="C52" s="26"/>
      <c r="D52" s="26"/>
      <c r="E52" s="43" t="s">
        <v>399</v>
      </c>
      <c r="F52" s="399">
        <v>5835656.870000001</v>
      </c>
      <c r="G52" s="109" t="s">
        <v>6</v>
      </c>
      <c r="H52" s="400">
        <v>1.0699999999999999E-2</v>
      </c>
      <c r="I52" s="101">
        <f>ROUND(F52*H52,2)</f>
        <v>62441.53</v>
      </c>
      <c r="N52" s="28"/>
      <c r="O52" s="559" t="s">
        <v>521</v>
      </c>
      <c r="P52" s="28"/>
      <c r="Q52" s="44" t="s">
        <v>399</v>
      </c>
      <c r="R52" s="407">
        <f>U30</f>
        <v>0</v>
      </c>
      <c r="S52" s="408" t="s">
        <v>6</v>
      </c>
      <c r="T52" s="409">
        <v>1.0699999999999999E-2</v>
      </c>
      <c r="U52" s="410">
        <f>ROUND(R52*T52,2)</f>
        <v>0</v>
      </c>
    </row>
    <row r="53" spans="1:22" x14ac:dyDescent="0.25">
      <c r="A53" s="26"/>
      <c r="B53" s="81" t="s">
        <v>400</v>
      </c>
      <c r="C53" s="26"/>
      <c r="D53" s="26"/>
      <c r="E53" s="43"/>
      <c r="F53" s="399"/>
      <c r="G53" s="109"/>
      <c r="H53" s="400"/>
      <c r="I53" s="97">
        <f>SUM(I51:I52)</f>
        <v>388654.75</v>
      </c>
      <c r="N53" s="28"/>
      <c r="O53" s="382" t="s">
        <v>400</v>
      </c>
      <c r="P53" s="28"/>
      <c r="Q53" s="44"/>
      <c r="R53" s="407"/>
      <c r="S53" s="408"/>
      <c r="T53" s="409"/>
      <c r="U53" s="401">
        <f>SUM(U51:U52)</f>
        <v>0</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2" si="10">IF(D$72=0,C57*2,C57+D57)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105.79</v>
      </c>
      <c r="D63" s="143">
        <v>103.9</v>
      </c>
      <c r="E63" s="116">
        <f>IF(D$66=0,C63*2,C63+D63)</f>
        <v>209.69</v>
      </c>
      <c r="F63" s="443" t="s">
        <v>14</v>
      </c>
      <c r="G63" s="442">
        <v>251</v>
      </c>
      <c r="H63" s="456">
        <f>'1461'!H63</f>
        <v>835</v>
      </c>
      <c r="I63" s="101">
        <f t="shared" si="11"/>
        <v>175091.15</v>
      </c>
      <c r="N63" s="634"/>
      <c r="O63" s="634"/>
      <c r="P63" s="637"/>
      <c r="Q63" s="637"/>
      <c r="R63" s="40" t="s">
        <v>14</v>
      </c>
      <c r="S63" s="448">
        <v>251</v>
      </c>
      <c r="T63" s="459">
        <f t="shared" si="12"/>
        <v>835</v>
      </c>
      <c r="U63" s="473">
        <f t="shared" si="13"/>
        <v>0</v>
      </c>
      <c r="V63" s="423"/>
    </row>
    <row r="64" spans="1:22" x14ac:dyDescent="0.25">
      <c r="A64" s="604"/>
      <c r="B64" s="604"/>
      <c r="C64" s="143">
        <v>8.01</v>
      </c>
      <c r="D64" s="143">
        <v>7.41</v>
      </c>
      <c r="E64" s="116">
        <f>IF(D$66=0,C64*2,C64+D64)</f>
        <v>15.42</v>
      </c>
      <c r="F64" s="443" t="s">
        <v>14</v>
      </c>
      <c r="G64" s="442">
        <v>252</v>
      </c>
      <c r="H64" s="456">
        <f>'1461'!H64</f>
        <v>3168</v>
      </c>
      <c r="I64" s="101">
        <f t="shared" si="11"/>
        <v>48850.559999999998</v>
      </c>
      <c r="N64" s="634"/>
      <c r="O64" s="634"/>
      <c r="P64" s="637"/>
      <c r="Q64" s="637"/>
      <c r="R64" s="40" t="s">
        <v>14</v>
      </c>
      <c r="S64" s="448">
        <v>252</v>
      </c>
      <c r="T64" s="459">
        <f t="shared" si="12"/>
        <v>3168</v>
      </c>
      <c r="U64" s="473">
        <f t="shared" si="13"/>
        <v>0</v>
      </c>
      <c r="V64" s="423"/>
    </row>
    <row r="65" spans="1:22" ht="16.5" thickBot="1" x14ac:dyDescent="0.3">
      <c r="A65" s="604"/>
      <c r="B65" s="604"/>
      <c r="C65" s="143">
        <v>0.5</v>
      </c>
      <c r="D65" s="143">
        <v>0</v>
      </c>
      <c r="E65" s="116">
        <f>IF(D$66=0,C65*2,C65+D65)</f>
        <v>0.5</v>
      </c>
      <c r="F65" s="443" t="s">
        <v>14</v>
      </c>
      <c r="G65" s="442">
        <v>253</v>
      </c>
      <c r="H65" s="456">
        <f>'1461'!H65</f>
        <v>6685</v>
      </c>
      <c r="I65" s="101">
        <f t="shared" si="11"/>
        <v>3342.5</v>
      </c>
      <c r="N65" s="634"/>
      <c r="O65" s="634"/>
      <c r="P65" s="638"/>
      <c r="Q65" s="638"/>
      <c r="R65" s="40" t="s">
        <v>14</v>
      </c>
      <c r="S65" s="448">
        <v>253</v>
      </c>
      <c r="T65" s="459">
        <f t="shared" si="12"/>
        <v>6685</v>
      </c>
      <c r="U65" s="474">
        <f t="shared" si="13"/>
        <v>0</v>
      </c>
      <c r="V65" s="423"/>
    </row>
    <row r="66" spans="1:22" ht="16.5" thickBot="1" x14ac:dyDescent="0.3">
      <c r="A66" s="439"/>
      <c r="C66" s="97">
        <f>SUM(C57:C65)</f>
        <v>114.30000000000001</v>
      </c>
      <c r="D66" s="97">
        <f>SUM(D57:D65)</f>
        <v>111.31</v>
      </c>
      <c r="E66" s="97">
        <f>SUM(E57:E65)</f>
        <v>225.60999999999999</v>
      </c>
      <c r="F66" s="605" t="s">
        <v>446</v>
      </c>
      <c r="G66" s="605"/>
      <c r="H66" s="605"/>
      <c r="I66" s="97">
        <f>SUM(I57:I65)</f>
        <v>227284.21</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1050.28</v>
      </c>
      <c r="D69" s="580" t="s">
        <v>412</v>
      </c>
      <c r="E69" s="580"/>
      <c r="F69" s="580"/>
      <c r="G69" s="580"/>
      <c r="H69" s="299">
        <f>'1461'!H69</f>
        <v>210228.91</v>
      </c>
      <c r="I69" s="113"/>
      <c r="N69" s="615" t="s">
        <v>405</v>
      </c>
      <c r="O69" s="616"/>
      <c r="P69" s="41">
        <f>P30</f>
        <v>0</v>
      </c>
      <c r="Q69" s="621" t="s">
        <v>407</v>
      </c>
      <c r="R69" s="622"/>
      <c r="S69" s="622"/>
      <c r="T69" s="619">
        <f>H69</f>
        <v>210228.91</v>
      </c>
      <c r="U69" s="619"/>
    </row>
    <row r="70" spans="1:22" x14ac:dyDescent="0.25">
      <c r="B70" s="69"/>
      <c r="G70" s="42" t="s">
        <v>12</v>
      </c>
      <c r="H70" s="114">
        <f>ROUND(C69/H69,6)</f>
        <v>4.9959999999999996E-3</v>
      </c>
      <c r="I70" s="115"/>
      <c r="N70" s="616"/>
      <c r="O70" s="616"/>
      <c r="P70" s="616"/>
      <c r="Q70" s="616"/>
      <c r="R70" s="616"/>
      <c r="S70" s="616"/>
      <c r="T70" s="620">
        <f>ROUND(P69/T69,6)</f>
        <v>0</v>
      </c>
      <c r="U70" s="620"/>
    </row>
    <row r="71" spans="1:22" x14ac:dyDescent="0.25">
      <c r="A71" s="441" t="s">
        <v>449</v>
      </c>
      <c r="N71" s="452" t="s">
        <v>457</v>
      </c>
      <c r="O71" s="51"/>
      <c r="P71" s="51"/>
      <c r="Q71" s="51"/>
      <c r="R71" s="51"/>
      <c r="S71" s="51"/>
      <c r="T71" s="51"/>
      <c r="U71" s="51"/>
    </row>
    <row r="72" spans="1:22" x14ac:dyDescent="0.25">
      <c r="A72" s="599" t="s">
        <v>402</v>
      </c>
      <c r="B72" s="593"/>
      <c r="C72" s="112">
        <f>H30</f>
        <v>1051.7570000000001</v>
      </c>
      <c r="D72" s="580" t="s">
        <v>413</v>
      </c>
      <c r="E72" s="580"/>
      <c r="F72" s="580"/>
      <c r="G72" s="580"/>
      <c r="H72" s="300">
        <f>'1461'!H72</f>
        <v>234891.44</v>
      </c>
      <c r="I72" s="116"/>
      <c r="N72" s="615" t="s">
        <v>406</v>
      </c>
      <c r="O72" s="616"/>
      <c r="P72" s="41">
        <f>T30</f>
        <v>0</v>
      </c>
      <c r="Q72" s="621" t="s">
        <v>408</v>
      </c>
      <c r="R72" s="622"/>
      <c r="S72" s="622"/>
      <c r="T72" s="619">
        <f>H72</f>
        <v>234891.44</v>
      </c>
      <c r="U72" s="619"/>
    </row>
    <row r="73" spans="1:22" x14ac:dyDescent="0.25">
      <c r="G73" s="42" t="s">
        <v>12</v>
      </c>
      <c r="H73" s="114">
        <f>ROUND(C72/H72,6)</f>
        <v>4.4780000000000002E-3</v>
      </c>
      <c r="I73" s="114"/>
      <c r="N73" s="616"/>
      <c r="O73" s="616"/>
      <c r="P73" s="616"/>
      <c r="Q73" s="616"/>
      <c r="R73" s="616"/>
      <c r="S73" s="616"/>
      <c r="T73" s="620">
        <f>ROUND(P72/T72,6)</f>
        <v>0</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1050.28</v>
      </c>
      <c r="D75" s="572" t="s">
        <v>414</v>
      </c>
      <c r="E75" s="572"/>
      <c r="F75" s="572"/>
      <c r="G75" s="572"/>
      <c r="H75" s="299">
        <f>'1461'!H75</f>
        <v>187665.41</v>
      </c>
      <c r="I75" s="113"/>
      <c r="N75" s="615" t="s">
        <v>404</v>
      </c>
      <c r="O75" s="616"/>
      <c r="P75" s="41">
        <f>P30</f>
        <v>0</v>
      </c>
      <c r="Q75" s="651" t="s">
        <v>409</v>
      </c>
      <c r="R75" s="652"/>
      <c r="S75" s="652"/>
      <c r="T75" s="619">
        <f>H75</f>
        <v>187665.41</v>
      </c>
      <c r="U75" s="619"/>
    </row>
    <row r="76" spans="1:22" x14ac:dyDescent="0.25">
      <c r="B76" s="69"/>
      <c r="G76" s="42" t="s">
        <v>12</v>
      </c>
      <c r="H76" s="114">
        <f>ROUND(C75/H75,6)</f>
        <v>5.5970000000000004E-3</v>
      </c>
      <c r="I76" s="115"/>
      <c r="N76" s="616"/>
      <c r="O76" s="616"/>
      <c r="P76" s="616"/>
      <c r="Q76" s="616"/>
      <c r="R76" s="616"/>
      <c r="S76" s="616"/>
      <c r="T76" s="620">
        <f>ROUND(P75/T75,6)</f>
        <v>0</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1050.28</v>
      </c>
      <c r="D78" s="600" t="s">
        <v>415</v>
      </c>
      <c r="E78" s="600"/>
      <c r="F78" s="600"/>
      <c r="G78" s="600"/>
      <c r="H78" s="299">
        <f>'1461'!H78</f>
        <v>209892.26</v>
      </c>
      <c r="I78" s="113"/>
      <c r="N78" s="615" t="s">
        <v>404</v>
      </c>
      <c r="O78" s="616"/>
      <c r="P78" s="41">
        <f>P30</f>
        <v>0</v>
      </c>
      <c r="Q78" s="649" t="s">
        <v>410</v>
      </c>
      <c r="R78" s="650"/>
      <c r="S78" s="650"/>
      <c r="T78" s="619">
        <f>H78</f>
        <v>209892.26</v>
      </c>
      <c r="U78" s="619"/>
    </row>
    <row r="79" spans="1:22" x14ac:dyDescent="0.25">
      <c r="B79" s="69"/>
      <c r="G79" s="42" t="s">
        <v>12</v>
      </c>
      <c r="H79" s="114">
        <f>ROUND(C78/H78,6)</f>
        <v>5.0039999999999998E-3</v>
      </c>
      <c r="I79" s="115"/>
      <c r="N79" s="616"/>
      <c r="O79" s="616"/>
      <c r="P79" s="616"/>
      <c r="Q79" s="616"/>
      <c r="R79" s="616"/>
      <c r="S79" s="616"/>
      <c r="T79" s="620">
        <f>ROUND(P78/T78,6)</f>
        <v>0</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1050.28</v>
      </c>
      <c r="D81" s="572" t="s">
        <v>416</v>
      </c>
      <c r="E81" s="572"/>
      <c r="F81" s="572"/>
      <c r="G81" s="572"/>
      <c r="H81" s="299">
        <f>'1461'!H81</f>
        <v>187328.76</v>
      </c>
      <c r="I81" s="113"/>
      <c r="N81" s="615" t="s">
        <v>417</v>
      </c>
      <c r="O81" s="616"/>
      <c r="P81" s="41">
        <f>P30</f>
        <v>0</v>
      </c>
      <c r="Q81" s="651" t="s">
        <v>418</v>
      </c>
      <c r="R81" s="652"/>
      <c r="S81" s="652"/>
      <c r="T81" s="619">
        <f>H81</f>
        <v>187328.76</v>
      </c>
      <c r="U81" s="619"/>
    </row>
    <row r="82" spans="1:21" x14ac:dyDescent="0.25">
      <c r="B82" s="69"/>
      <c r="G82" s="42" t="s">
        <v>12</v>
      </c>
      <c r="H82" s="114">
        <f>ROUND(C81/H81,6)</f>
        <v>5.607E-3</v>
      </c>
      <c r="I82" s="115"/>
      <c r="N82" s="616"/>
      <c r="O82" s="616"/>
      <c r="P82" s="616"/>
      <c r="Q82" s="616"/>
      <c r="R82" s="616"/>
      <c r="S82" s="616"/>
      <c r="T82" s="620">
        <f>ROUND(P81/T81,6)</f>
        <v>0</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5.0039999999999998E-3</v>
      </c>
      <c r="I85" s="101">
        <f>ROUND(F85*H85,2)</f>
        <v>231003.17</v>
      </c>
      <c r="N85" s="452" t="s">
        <v>453</v>
      </c>
      <c r="O85" s="51"/>
      <c r="P85" s="51"/>
      <c r="Q85" s="44"/>
      <c r="R85" s="418">
        <f>F85</f>
        <v>46163704</v>
      </c>
      <c r="S85" s="38" t="s">
        <v>6</v>
      </c>
      <c r="T85" s="420">
        <f>T79</f>
        <v>0</v>
      </c>
      <c r="U85" s="472">
        <f>ROUND(R85*T85,2)</f>
        <v>0</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4.9959999999999996E-3</v>
      </c>
      <c r="I88" s="101">
        <f>ROUND(F88*H88,2)</f>
        <v>0</v>
      </c>
      <c r="N88" s="653" t="s">
        <v>99</v>
      </c>
      <c r="O88" s="616"/>
      <c r="P88" s="616"/>
      <c r="Q88" s="44"/>
      <c r="R88" s="418">
        <f>F88</f>
        <v>0</v>
      </c>
      <c r="S88" s="38" t="s">
        <v>6</v>
      </c>
      <c r="T88" s="420">
        <f>T70</f>
        <v>0</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5.607E-3</v>
      </c>
      <c r="I90" s="101">
        <f>ROUND(F90*H90,2)</f>
        <v>106768.64</v>
      </c>
      <c r="N90" s="452" t="s">
        <v>454</v>
      </c>
      <c r="O90" s="51"/>
      <c r="P90" s="51"/>
      <c r="Q90" s="44"/>
      <c r="R90" s="418">
        <f>F90</f>
        <v>19042026</v>
      </c>
      <c r="S90" s="38" t="s">
        <v>6</v>
      </c>
      <c r="T90" s="420">
        <f>T82</f>
        <v>0</v>
      </c>
      <c r="U90" s="472">
        <f>ROUND(R90*T90,2)</f>
        <v>0</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5.5970000000000004E-3</v>
      </c>
      <c r="I92" s="101">
        <f t="shared" ref="I92:I96" si="14">ROUND(F92*H92,2)</f>
        <v>64036.12</v>
      </c>
      <c r="N92" s="452" t="s">
        <v>455</v>
      </c>
      <c r="O92" s="51"/>
      <c r="P92" s="51"/>
      <c r="Q92" s="44"/>
      <c r="R92" s="418">
        <f t="shared" ref="R92:R96" si="15">F92</f>
        <v>11441151</v>
      </c>
      <c r="S92" s="38" t="s">
        <v>6</v>
      </c>
      <c r="T92" s="420">
        <f>T76</f>
        <v>0</v>
      </c>
      <c r="U92" s="472">
        <f>ROUND(R92*T92,2)</f>
        <v>0</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4.4780000000000002E-3</v>
      </c>
      <c r="I94" s="101">
        <f t="shared" si="14"/>
        <v>1145279.02</v>
      </c>
      <c r="N94" s="616" t="s">
        <v>420</v>
      </c>
      <c r="O94" s="616"/>
      <c r="P94" s="616"/>
      <c r="Q94" s="44"/>
      <c r="R94" s="418">
        <f t="shared" si="15"/>
        <v>255756816</v>
      </c>
      <c r="S94" s="38" t="s">
        <v>6</v>
      </c>
      <c r="T94" s="420">
        <f>T73</f>
        <v>0</v>
      </c>
      <c r="U94" s="472">
        <f>ROUND(R94*T94,2)</f>
        <v>0</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4.4780000000000002E-3</v>
      </c>
      <c r="I96" s="101">
        <f t="shared" si="14"/>
        <v>-7100.13</v>
      </c>
      <c r="N96" s="615" t="s">
        <v>421</v>
      </c>
      <c r="O96" s="616"/>
      <c r="P96" s="616"/>
      <c r="Q96" s="44"/>
      <c r="R96" s="418">
        <f t="shared" si="15"/>
        <v>-1585559</v>
      </c>
      <c r="S96" s="38" t="s">
        <v>6</v>
      </c>
      <c r="T96" s="420">
        <f>T73</f>
        <v>0</v>
      </c>
      <c r="U96" s="472">
        <f>ROUND(R96*T96,2)</f>
        <v>0</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4.9959999999999996E-3</v>
      </c>
      <c r="I98" s="101">
        <f t="shared" ref="I98" si="16">ROUND(F98*H98,2)</f>
        <v>0</v>
      </c>
      <c r="N98" s="532" t="s">
        <v>495</v>
      </c>
      <c r="O98" s="532"/>
      <c r="P98" s="532"/>
      <c r="Q98" s="44"/>
      <c r="R98" s="535">
        <f>F98</f>
        <v>0</v>
      </c>
      <c r="S98" s="533" t="s">
        <v>6</v>
      </c>
      <c r="T98" s="420">
        <f>T70</f>
        <v>0</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1051.7570000000001</v>
      </c>
      <c r="D106" s="611"/>
      <c r="E106" s="46">
        <f>H8</f>
        <v>1.0407999999999999</v>
      </c>
      <c r="F106" s="302">
        <f>'1461'!F106</f>
        <v>910.12</v>
      </c>
      <c r="G106" s="39" t="s">
        <v>12</v>
      </c>
      <c r="H106" s="94">
        <f>ROUND(C106*E106*F106,2)</f>
        <v>996279.86</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1051.7570000000001</v>
      </c>
      <c r="D107" s="601"/>
      <c r="E107" s="123"/>
      <c r="F107" s="123"/>
      <c r="G107" s="123"/>
      <c r="H107" s="124" t="s">
        <v>100</v>
      </c>
      <c r="I107" s="101">
        <f>IF(A1=75,0,H106+H105+H104)</f>
        <v>996279.86</v>
      </c>
      <c r="N107" s="56" t="s">
        <v>89</v>
      </c>
      <c r="O107" s="57">
        <f>SUM(O104:O106)</f>
        <v>0</v>
      </c>
      <c r="P107" s="627" t="s">
        <v>16</v>
      </c>
      <c r="Q107" s="628"/>
      <c r="R107" s="628"/>
      <c r="S107" s="628"/>
      <c r="T107" s="628"/>
      <c r="U107" s="472">
        <f>IF(N1=75,0,T106+T105+T104)</f>
        <v>0</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8"/>
      <c r="D110" s="8"/>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710</v>
      </c>
      <c r="D113" s="143">
        <v>686</v>
      </c>
      <c r="E113" s="116">
        <f>(C113+D113)/2</f>
        <v>698</v>
      </c>
      <c r="F113" s="126" t="s">
        <v>30</v>
      </c>
      <c r="G113" s="303">
        <f>'1461'!G113</f>
        <v>567</v>
      </c>
      <c r="I113" s="101">
        <f>ROUND(G113*E113,2)</f>
        <v>395766</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8994973.7600000016</v>
      </c>
      <c r="N128" s="452"/>
      <c r="O128" s="451"/>
      <c r="P128" s="451"/>
      <c r="Q128" s="305"/>
      <c r="R128" s="305"/>
      <c r="S128" s="305"/>
      <c r="T128" s="305"/>
      <c r="U128" s="479">
        <f>SUM(U30,U85,U88,U90,U92,U94,U96,U107,U113,U114,U124,U126)</f>
        <v>0</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8606319.0100000016</v>
      </c>
      <c r="N130" s="618" t="s">
        <v>33</v>
      </c>
      <c r="O130" s="618"/>
      <c r="P130" s="618"/>
      <c r="Q130" s="618"/>
      <c r="R130" s="618"/>
      <c r="S130" s="618"/>
      <c r="T130" s="61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433</v>
      </c>
      <c r="B132" s="593"/>
      <c r="C132" s="593"/>
      <c r="D132" s="593"/>
      <c r="E132" s="593"/>
      <c r="F132" s="593"/>
      <c r="G132" s="593"/>
      <c r="H132" s="81" t="s">
        <v>333</v>
      </c>
      <c r="I132" s="134"/>
      <c r="N132" s="28"/>
      <c r="O132" s="28"/>
      <c r="P132" s="28"/>
      <c r="Q132" s="28"/>
      <c r="R132" s="28"/>
      <c r="S132" s="28"/>
      <c r="T132" s="28"/>
      <c r="U132" s="138"/>
    </row>
    <row r="133" spans="1:21" x14ac:dyDescent="0.25">
      <c r="A133" s="593" t="s">
        <v>70</v>
      </c>
      <c r="B133" s="593"/>
      <c r="C133" s="593"/>
      <c r="D133" s="593"/>
      <c r="E133" s="593"/>
      <c r="F133" s="593"/>
      <c r="G133" s="593"/>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240</v>
      </c>
      <c r="H135" s="139">
        <f>IF(H133=1,I133,I130)</f>
        <v>8606319.0100000016</v>
      </c>
      <c r="I135" s="94">
        <f>ROUND(IF(E30=0,0,IF(E30&gt;250,-(((250/E30)*H135)*IF(G135="H",0.02,0.05)),IF(G135="H",-0.02*H135,-0.05*H135))),2)</f>
        <v>-40971.550000000003</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8954002.2100000009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Payments'!Q69</f>
        <v>-1490442.03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7463560.1800000006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746356.02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131154.83020000003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4" t="str">
        <f>'1461'!A152</f>
        <v>(a) Additional FTE includes FTE earned through Advanced Placement, International Baccalaureate, Advanced International Certificate of Education, Industry Certified Career</v>
      </c>
      <c r="B152" s="345"/>
      <c r="C152" s="345"/>
      <c r="D152" s="345"/>
      <c r="E152" s="345"/>
      <c r="F152" s="345"/>
      <c r="G152" s="345"/>
      <c r="H152" s="345"/>
      <c r="I152" s="345"/>
      <c r="J152" s="77"/>
      <c r="K152" s="76"/>
      <c r="L152" s="76"/>
      <c r="M152" s="76"/>
      <c r="N152" s="73"/>
      <c r="O152" s="73"/>
      <c r="P152" s="73"/>
      <c r="Q152" s="73"/>
      <c r="R152" s="73"/>
      <c r="S152" s="73"/>
      <c r="T152" s="73"/>
      <c r="U152" s="73"/>
    </row>
    <row r="153" spans="1:21" ht="15.75" customHeight="1" x14ac:dyDescent="0.25">
      <c r="A153" s="350" t="s">
        <v>372</v>
      </c>
      <c r="B153" s="345"/>
      <c r="C153" s="345"/>
      <c r="D153" s="345"/>
      <c r="E153" s="345"/>
      <c r="F153" s="345"/>
      <c r="G153" s="345"/>
      <c r="H153" s="345"/>
      <c r="I153" s="345"/>
      <c r="J153" s="77"/>
      <c r="K153" s="76"/>
      <c r="L153" s="76"/>
      <c r="M153" s="76"/>
      <c r="N153" s="73"/>
      <c r="O153" s="73"/>
      <c r="P153" s="73"/>
      <c r="Q153" s="73"/>
      <c r="R153" s="73"/>
      <c r="S153" s="73"/>
      <c r="T153" s="73"/>
      <c r="U153" s="73"/>
    </row>
    <row r="154" spans="1:21" x14ac:dyDescent="0.25">
      <c r="A154" s="344" t="s">
        <v>373</v>
      </c>
      <c r="B154" s="346"/>
      <c r="C154" s="346"/>
      <c r="D154" s="346"/>
      <c r="E154" s="346"/>
      <c r="F154" s="346"/>
      <c r="G154" s="346"/>
      <c r="H154" s="346"/>
      <c r="I154" s="346"/>
      <c r="J154" s="76"/>
      <c r="K154" s="76"/>
      <c r="L154" s="76"/>
      <c r="M154" s="76"/>
      <c r="N154" s="73"/>
      <c r="O154" s="73"/>
      <c r="P154" s="73"/>
      <c r="Q154" s="73"/>
      <c r="R154" s="73"/>
      <c r="S154" s="73"/>
      <c r="T154" s="73"/>
      <c r="U154" s="73"/>
    </row>
    <row r="155" spans="1:21" s="76" customFormat="1" x14ac:dyDescent="0.2">
      <c r="A155" s="344" t="s">
        <v>374</v>
      </c>
      <c r="B155" s="346"/>
      <c r="C155" s="346"/>
      <c r="D155" s="346"/>
      <c r="E155" s="346"/>
      <c r="F155" s="346"/>
      <c r="G155" s="346"/>
      <c r="H155" s="346"/>
      <c r="I155" s="346"/>
      <c r="N155" s="640"/>
      <c r="O155" s="640"/>
      <c r="P155" s="640"/>
      <c r="Q155" s="640"/>
      <c r="R155" s="640"/>
      <c r="S155" s="640"/>
      <c r="T155" s="640"/>
      <c r="U155" s="640"/>
    </row>
    <row r="156" spans="1:21" s="76" customFormat="1" x14ac:dyDescent="0.2">
      <c r="A156" s="344" t="s">
        <v>375</v>
      </c>
      <c r="B156" s="346"/>
      <c r="C156" s="346"/>
      <c r="D156" s="346"/>
      <c r="E156" s="346"/>
      <c r="F156" s="346"/>
      <c r="G156" s="346"/>
      <c r="H156" s="346"/>
      <c r="I156" s="346"/>
      <c r="N156" s="73"/>
      <c r="O156" s="73"/>
      <c r="P156" s="73"/>
      <c r="Q156" s="73"/>
      <c r="R156" s="73"/>
      <c r="S156" s="73"/>
      <c r="T156" s="73"/>
      <c r="U156" s="73"/>
    </row>
    <row r="157" spans="1:21" s="76" customFormat="1" x14ac:dyDescent="0.2">
      <c r="A157" s="344" t="s">
        <v>376</v>
      </c>
      <c r="B157" s="346"/>
      <c r="C157" s="346"/>
      <c r="D157" s="346"/>
      <c r="E157" s="346"/>
      <c r="F157" s="346"/>
      <c r="G157" s="346"/>
      <c r="H157" s="346"/>
      <c r="I157" s="346"/>
      <c r="N157" s="78"/>
      <c r="O157" s="79"/>
      <c r="P157" s="79"/>
      <c r="Q157" s="79"/>
      <c r="R157" s="79"/>
      <c r="S157" s="79"/>
      <c r="T157" s="79"/>
      <c r="U157" s="79"/>
    </row>
    <row r="158" spans="1:21" s="76" customFormat="1" x14ac:dyDescent="0.2">
      <c r="A158" s="344" t="s">
        <v>377</v>
      </c>
      <c r="B158" s="346"/>
      <c r="C158" s="346"/>
      <c r="D158" s="346"/>
      <c r="E158" s="346"/>
      <c r="F158" s="346"/>
      <c r="G158" s="346"/>
      <c r="H158" s="346"/>
      <c r="I158" s="346"/>
      <c r="N158" s="78"/>
    </row>
    <row r="159" spans="1:21" s="76" customFormat="1" x14ac:dyDescent="0.2">
      <c r="A159" s="344" t="s">
        <v>379</v>
      </c>
      <c r="B159" s="346"/>
      <c r="C159" s="346"/>
      <c r="D159" s="346"/>
      <c r="E159" s="346"/>
      <c r="F159" s="346"/>
      <c r="G159" s="346"/>
      <c r="H159" s="346"/>
      <c r="I159" s="346"/>
      <c r="N159" s="78"/>
    </row>
    <row r="160" spans="1:21" s="76" customFormat="1" x14ac:dyDescent="0.2">
      <c r="A160" s="350" t="s">
        <v>378</v>
      </c>
      <c r="B160" s="346"/>
      <c r="C160" s="346"/>
      <c r="D160" s="346"/>
      <c r="E160" s="346"/>
      <c r="F160" s="346"/>
      <c r="G160" s="346"/>
      <c r="H160" s="346"/>
      <c r="I160" s="346"/>
      <c r="N160" s="78"/>
    </row>
    <row r="161" spans="1:14" s="76" customFormat="1" x14ac:dyDescent="0.2">
      <c r="A161" s="344" t="s">
        <v>380</v>
      </c>
      <c r="B161" s="346"/>
      <c r="C161" s="346"/>
      <c r="D161" s="346"/>
      <c r="E161" s="346"/>
      <c r="F161" s="346"/>
      <c r="G161" s="346"/>
      <c r="H161" s="346"/>
      <c r="I161" s="346"/>
      <c r="N161" s="78"/>
    </row>
    <row r="162" spans="1:14" s="76" customFormat="1" x14ac:dyDescent="0.2">
      <c r="A162" s="350" t="str">
        <f>'1461'!A162</f>
        <v>"All Adjusted ESE Riders" should include only ESE Riders.</v>
      </c>
      <c r="B162" s="346"/>
      <c r="C162" s="346"/>
      <c r="D162" s="346"/>
      <c r="E162" s="346"/>
      <c r="F162" s="346"/>
      <c r="G162" s="346"/>
      <c r="H162" s="346"/>
      <c r="I162" s="346"/>
      <c r="N162" s="78"/>
    </row>
    <row r="163" spans="1:14" s="76" customFormat="1" x14ac:dyDescent="0.2">
      <c r="A163" s="344" t="s">
        <v>383</v>
      </c>
      <c r="B163" s="346"/>
      <c r="C163" s="346"/>
      <c r="D163" s="346"/>
      <c r="E163" s="346"/>
      <c r="F163" s="346"/>
      <c r="G163" s="346"/>
      <c r="H163" s="346"/>
      <c r="I163" s="346"/>
      <c r="N163" s="78"/>
    </row>
    <row r="164" spans="1:14" s="76" customFormat="1" ht="15.75" customHeight="1" x14ac:dyDescent="0.2">
      <c r="A164" s="344" t="str">
        <f>'1461'!A164</f>
        <v xml:space="preserve">(j) Funding based on student eligibility and meals provided, if participating in the National School Lunch Program. </v>
      </c>
      <c r="B164" s="346"/>
      <c r="C164" s="346"/>
      <c r="D164" s="346"/>
      <c r="E164" s="346"/>
      <c r="F164" s="346"/>
      <c r="G164" s="346"/>
      <c r="H164" s="346"/>
      <c r="I164" s="346"/>
      <c r="N164" s="78"/>
    </row>
    <row r="165" spans="1:14" s="76" customFormat="1" ht="15.75" customHeight="1" x14ac:dyDescent="0.2">
      <c r="A165" s="344" t="s">
        <v>385</v>
      </c>
      <c r="B165" s="346"/>
      <c r="C165" s="346"/>
      <c r="D165" s="346"/>
      <c r="E165" s="346"/>
      <c r="F165" s="346"/>
      <c r="G165" s="346"/>
      <c r="H165" s="346"/>
      <c r="I165" s="346"/>
      <c r="N165" s="78"/>
    </row>
    <row r="166" spans="1:14" s="76" customFormat="1" ht="15.75" customHeight="1" x14ac:dyDescent="0.2">
      <c r="A166" s="350" t="s">
        <v>384</v>
      </c>
      <c r="B166" s="346"/>
      <c r="C166" s="346"/>
      <c r="D166" s="346"/>
      <c r="E166" s="346"/>
      <c r="F166" s="346"/>
      <c r="G166" s="346"/>
      <c r="H166" s="346"/>
      <c r="I166" s="346"/>
      <c r="N166" s="78"/>
    </row>
    <row r="167" spans="1:14" s="76" customFormat="1" ht="15.75" customHeight="1" x14ac:dyDescent="0.2">
      <c r="A167" s="344" t="s">
        <v>386</v>
      </c>
      <c r="B167" s="346"/>
      <c r="C167" s="346"/>
      <c r="D167" s="346"/>
      <c r="E167" s="346"/>
      <c r="F167" s="346"/>
      <c r="G167" s="346"/>
      <c r="H167" s="346"/>
      <c r="I167" s="346"/>
      <c r="N167" s="78"/>
    </row>
    <row r="168" spans="1:14" s="76" customFormat="1" ht="15.75" customHeight="1" x14ac:dyDescent="0.2">
      <c r="A168" s="350" t="str">
        <f>'1461'!A168</f>
        <v xml:space="preserve">unweighted full-time equivalent students. </v>
      </c>
      <c r="B168" s="346"/>
      <c r="C168" s="346"/>
      <c r="D168" s="346"/>
      <c r="E168" s="346"/>
      <c r="F168" s="346"/>
      <c r="G168" s="346"/>
      <c r="H168" s="346"/>
      <c r="I168" s="346"/>
      <c r="N168" s="78"/>
    </row>
    <row r="169" spans="1:14" s="76" customFormat="1" ht="15.75" customHeight="1" x14ac:dyDescent="0.2">
      <c r="A169" s="344" t="s">
        <v>388</v>
      </c>
      <c r="B169" s="346"/>
      <c r="C169" s="346"/>
      <c r="D169" s="346"/>
      <c r="E169" s="346"/>
      <c r="F169" s="346"/>
      <c r="G169" s="346"/>
      <c r="H169" s="346"/>
      <c r="I169" s="346"/>
      <c r="N169" s="78"/>
    </row>
    <row r="170" spans="1:14" s="76" customFormat="1" ht="15.75" customHeight="1" x14ac:dyDescent="0.2">
      <c r="A170" s="350" t="s">
        <v>387</v>
      </c>
      <c r="B170" s="346"/>
      <c r="C170" s="346"/>
      <c r="D170" s="346"/>
      <c r="E170" s="346"/>
      <c r="F170" s="346"/>
      <c r="G170" s="346"/>
      <c r="H170" s="346"/>
      <c r="I170" s="346"/>
      <c r="N170" s="78"/>
    </row>
    <row r="171" spans="1:14" s="76" customFormat="1" ht="15.75" customHeight="1" x14ac:dyDescent="0.2">
      <c r="A171" s="344"/>
      <c r="B171" s="346"/>
      <c r="C171" s="346"/>
      <c r="D171" s="346"/>
      <c r="E171" s="346"/>
      <c r="F171" s="346"/>
      <c r="G171" s="346"/>
      <c r="H171" s="346"/>
      <c r="I171" s="346"/>
      <c r="N171" s="78"/>
    </row>
    <row r="172" spans="1:14" s="76" customFormat="1" ht="15.75" customHeight="1" x14ac:dyDescent="0.25">
      <c r="A172" s="357" t="str">
        <f>'1461'!A172</f>
        <v>Administrative fees:</v>
      </c>
      <c r="B172" s="346"/>
      <c r="C172" s="346"/>
      <c r="D172" s="346"/>
      <c r="E172" s="346"/>
      <c r="F172" s="346"/>
      <c r="G172" s="346"/>
      <c r="H172" s="346"/>
      <c r="I172" s="346"/>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349"/>
      <c r="C173" s="349"/>
      <c r="D173" s="349"/>
      <c r="E173" s="349"/>
      <c r="F173" s="349"/>
      <c r="G173" s="349"/>
      <c r="H173" s="349"/>
      <c r="I173" s="349"/>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356"/>
      <c r="C174" s="356"/>
      <c r="D174" s="356"/>
      <c r="E174" s="356"/>
      <c r="F174" s="356"/>
      <c r="G174" s="356"/>
      <c r="H174" s="356"/>
      <c r="I174" s="356"/>
      <c r="J174" s="3"/>
      <c r="K174" s="3"/>
      <c r="L174" s="3"/>
      <c r="M174" s="3"/>
      <c r="N174" s="78"/>
    </row>
    <row r="175" spans="1:14" s="76" customFormat="1" ht="15.75" customHeight="1" x14ac:dyDescent="0.25">
      <c r="A175" s="362" t="s">
        <v>389</v>
      </c>
      <c r="B175" s="356"/>
      <c r="C175" s="356"/>
      <c r="D175" s="356"/>
      <c r="E175" s="356"/>
      <c r="F175" s="356"/>
      <c r="G175" s="356"/>
      <c r="H175" s="356"/>
      <c r="I175" s="356"/>
      <c r="J175" s="3"/>
      <c r="K175" s="3"/>
      <c r="L175" s="3"/>
      <c r="M175" s="3"/>
      <c r="N175" s="78"/>
    </row>
    <row r="176" spans="1:14" s="76" customFormat="1" ht="15.75" customHeight="1" x14ac:dyDescent="0.2">
      <c r="A176" s="362" t="s">
        <v>390</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349"/>
      <c r="C178" s="349"/>
      <c r="D178" s="349"/>
      <c r="E178" s="349"/>
      <c r="F178" s="349"/>
      <c r="G178" s="349"/>
      <c r="H178" s="349"/>
      <c r="I178" s="349"/>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9"/>
      <c r="C179" s="349"/>
      <c r="D179" s="349"/>
      <c r="E179" s="349"/>
      <c r="F179" s="349"/>
      <c r="G179" s="349"/>
      <c r="H179" s="349"/>
      <c r="I179" s="349"/>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349"/>
      <c r="C180" s="349"/>
      <c r="D180" s="349"/>
      <c r="E180" s="349"/>
      <c r="F180" s="349"/>
      <c r="G180" s="349"/>
      <c r="H180" s="349"/>
      <c r="I180" s="349"/>
      <c r="N180" s="74"/>
      <c r="O180" s="3"/>
      <c r="P180" s="3"/>
      <c r="Q180" s="3"/>
      <c r="R180" s="3"/>
      <c r="S180" s="3"/>
      <c r="T180" s="3"/>
      <c r="U180" s="3"/>
    </row>
    <row r="181" spans="1:21" x14ac:dyDescent="0.25">
      <c r="A181" s="344"/>
      <c r="B181" s="349"/>
      <c r="C181" s="349"/>
      <c r="D181" s="349"/>
      <c r="E181" s="349"/>
      <c r="F181" s="349"/>
      <c r="G181" s="349"/>
      <c r="H181" s="349"/>
      <c r="I181" s="349"/>
      <c r="N181" s="78"/>
      <c r="O181" s="76"/>
      <c r="P181" s="76"/>
      <c r="Q181" s="76"/>
      <c r="R181" s="76"/>
      <c r="S181" s="76"/>
      <c r="T181" s="76"/>
      <c r="U181" s="76"/>
    </row>
    <row r="182" spans="1:21" x14ac:dyDescent="0.25">
      <c r="A182" s="357" t="str">
        <f>'1461'!A182</f>
        <v>Other:</v>
      </c>
      <c r="B182" s="355"/>
      <c r="C182" s="355"/>
      <c r="D182" s="355"/>
      <c r="E182" s="355"/>
      <c r="F182" s="355"/>
      <c r="G182" s="355"/>
      <c r="H182" s="355"/>
      <c r="I182" s="355"/>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B183" s="349"/>
      <c r="C183" s="349"/>
      <c r="D183" s="349"/>
      <c r="E183" s="349"/>
      <c r="F183" s="349"/>
      <c r="G183" s="349"/>
      <c r="H183" s="349"/>
      <c r="I183" s="349"/>
      <c r="N183" s="78"/>
      <c r="O183" s="76"/>
      <c r="P183" s="76"/>
      <c r="Q183" s="76"/>
      <c r="R183" s="76"/>
      <c r="S183" s="76"/>
      <c r="T183" s="76"/>
      <c r="U183" s="76"/>
    </row>
    <row r="184" spans="1:21" x14ac:dyDescent="0.25">
      <c r="A184" s="362" t="str">
        <f>'1461'!A184</f>
        <v>by the Commissioner of Education.</v>
      </c>
      <c r="B184" s="356"/>
      <c r="C184" s="356"/>
      <c r="D184" s="356"/>
      <c r="E184" s="356"/>
      <c r="F184" s="356"/>
      <c r="G184" s="356"/>
      <c r="H184" s="356"/>
      <c r="I184" s="356"/>
      <c r="N184" s="74"/>
    </row>
    <row r="185" spans="1:21" x14ac:dyDescent="0.25">
      <c r="A185" s="361" t="str">
        <f>'1461'!A185</f>
        <v>Revenues flow to districts from state sources and from county tax collectors on various distribution schedules.</v>
      </c>
      <c r="B185" s="349"/>
      <c r="C185" s="349"/>
      <c r="D185" s="349"/>
      <c r="E185" s="349"/>
      <c r="F185" s="349"/>
      <c r="G185" s="349"/>
      <c r="H185" s="349"/>
      <c r="I185" s="34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F110:I110"/>
    <mergeCell ref="N110:P110"/>
    <mergeCell ref="Q110:T110"/>
    <mergeCell ref="R120:S120"/>
    <mergeCell ref="A113:B113"/>
    <mergeCell ref="N113:O113"/>
    <mergeCell ref="P113:R113"/>
    <mergeCell ref="A114:B114"/>
    <mergeCell ref="N114:O114"/>
    <mergeCell ref="P114:R114"/>
    <mergeCell ref="C104:D104"/>
    <mergeCell ref="P104:Q104"/>
    <mergeCell ref="C105:D105"/>
    <mergeCell ref="P105:Q105"/>
    <mergeCell ref="C106:D106"/>
    <mergeCell ref="P106:Q106"/>
    <mergeCell ref="C107:D107"/>
    <mergeCell ref="P107:T107"/>
    <mergeCell ref="A108:I108"/>
    <mergeCell ref="N108:U108"/>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workbookViewId="0">
      <selection activeCell="I17" sqref="I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111</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v>
      </c>
      <c r="E15" s="116">
        <f t="shared" ref="E15:E29" si="1">IF(D$30=0,C15*2,C15+D15)</f>
        <v>0</v>
      </c>
      <c r="F15" s="678">
        <f>'1461'!F15:G15</f>
        <v>1.1180000000000001</v>
      </c>
      <c r="G15" s="678"/>
      <c r="H15" s="80">
        <f t="shared" ref="H15:H29" si="2">ROUND(E15*F15,4)</f>
        <v>0</v>
      </c>
      <c r="I15" s="101">
        <f t="shared" ref="I15:I29" si="3">ROUND(ROUND(ROUND(H15*$C$8,4)*($H$8),2)*(MAX($H$9,1)),2)</f>
        <v>0</v>
      </c>
      <c r="J15" s="65" t="str">
        <f>IF(ROUND(E15,2)=ROUND(SUM(E57:E59),2)," ","CHECK PK-3 LINES BELOW")</f>
        <v xml:space="preserve"> </v>
      </c>
      <c r="N15" s="616" t="s">
        <v>21</v>
      </c>
      <c r="O15" s="616"/>
      <c r="P15" s="657">
        <f t="shared" si="0"/>
        <v>0</v>
      </c>
      <c r="Q15" s="657"/>
      <c r="R15" s="662">
        <v>1</v>
      </c>
      <c r="S15" s="662"/>
      <c r="T15" s="95">
        <f t="shared" ref="T15:T29" si="4">ROUND(P15*R15,4)</f>
        <v>0</v>
      </c>
      <c r="U15" s="472">
        <f t="shared" ref="U15:U29" si="5">ROUND(ROUND(ROUND(T15*$C$8,4)*($H$8),2)*(MAX($H$9,1)),2)</f>
        <v>0</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30.18</v>
      </c>
      <c r="D19" s="143">
        <v>31.76</v>
      </c>
      <c r="E19" s="116">
        <f t="shared" si="1"/>
        <v>61.94</v>
      </c>
      <c r="F19" s="678">
        <f>'1461'!F19:G19</f>
        <v>0.97799999999999998</v>
      </c>
      <c r="G19" s="678"/>
      <c r="H19" s="80">
        <f t="shared" si="2"/>
        <v>60.577300000000001</v>
      </c>
      <c r="I19" s="101">
        <f>ROUND(ROUND(ROUND(H19*$C$8,4)*($H$8),2)*(MAX($H$9,1)),2)</f>
        <v>336112.18</v>
      </c>
      <c r="J19" s="65" t="str">
        <f>IF(ROUND(E19,2)=ROUND(SUM(E63:E65),2)," ","CHECK 4-8 LINES BELOW")</f>
        <v xml:space="preserve"> </v>
      </c>
      <c r="N19" s="616" t="s">
        <v>25</v>
      </c>
      <c r="O19" s="616"/>
      <c r="P19" s="657">
        <f t="shared" si="0"/>
        <v>61.94</v>
      </c>
      <c r="Q19" s="657"/>
      <c r="R19" s="662">
        <v>1</v>
      </c>
      <c r="S19" s="662"/>
      <c r="T19" s="95">
        <f t="shared" si="4"/>
        <v>61.94</v>
      </c>
      <c r="U19" s="471">
        <f t="shared" si="5"/>
        <v>343673.1</v>
      </c>
    </row>
    <row r="20" spans="1:21" x14ac:dyDescent="0.25">
      <c r="A20" s="593" t="s">
        <v>79</v>
      </c>
      <c r="B20" s="593"/>
      <c r="C20" s="143">
        <v>0</v>
      </c>
      <c r="D20" s="143">
        <v>0</v>
      </c>
      <c r="E20" s="116">
        <f t="shared" si="1"/>
        <v>0</v>
      </c>
      <c r="F20" s="678">
        <f>'1461'!F20:G20</f>
        <v>3.6970000000000001</v>
      </c>
      <c r="G20" s="678"/>
      <c r="H20" s="80">
        <f t="shared" si="2"/>
        <v>0</v>
      </c>
      <c r="I20" s="101">
        <f t="shared" si="3"/>
        <v>0</v>
      </c>
      <c r="N20" s="616" t="s">
        <v>79</v>
      </c>
      <c r="O20" s="616"/>
      <c r="P20" s="657">
        <f t="shared" si="0"/>
        <v>0</v>
      </c>
      <c r="Q20" s="657"/>
      <c r="R20" s="662">
        <v>1</v>
      </c>
      <c r="S20" s="662"/>
      <c r="T20" s="95">
        <f t="shared" si="4"/>
        <v>0</v>
      </c>
      <c r="U20" s="472">
        <f t="shared" si="5"/>
        <v>0</v>
      </c>
    </row>
    <row r="21" spans="1:21" x14ac:dyDescent="0.25">
      <c r="A21" s="593" t="s">
        <v>80</v>
      </c>
      <c r="B21" s="593"/>
      <c r="C21" s="143">
        <v>0</v>
      </c>
      <c r="D21" s="143">
        <v>0</v>
      </c>
      <c r="E21" s="116">
        <f t="shared" si="1"/>
        <v>0</v>
      </c>
      <c r="F21" s="678">
        <f>'1461'!F21:G21</f>
        <v>3.6970000000000001</v>
      </c>
      <c r="G21" s="678"/>
      <c r="H21" s="80">
        <f t="shared" si="2"/>
        <v>0</v>
      </c>
      <c r="I21" s="101">
        <f t="shared" si="3"/>
        <v>0</v>
      </c>
      <c r="N21" s="616" t="s">
        <v>80</v>
      </c>
      <c r="O21" s="616"/>
      <c r="P21" s="657">
        <f t="shared" si="0"/>
        <v>0</v>
      </c>
      <c r="Q21" s="657"/>
      <c r="R21" s="662">
        <v>1</v>
      </c>
      <c r="S21" s="662"/>
      <c r="T21" s="95">
        <f t="shared" si="4"/>
        <v>0</v>
      </c>
      <c r="U21" s="472">
        <f t="shared" si="5"/>
        <v>0</v>
      </c>
    </row>
    <row r="22" spans="1:21" x14ac:dyDescent="0.25">
      <c r="A22" s="593" t="s">
        <v>81</v>
      </c>
      <c r="B22" s="593"/>
      <c r="C22" s="143">
        <v>5.21</v>
      </c>
      <c r="D22" s="143">
        <v>4.8</v>
      </c>
      <c r="E22" s="116">
        <f t="shared" si="1"/>
        <v>10.01</v>
      </c>
      <c r="F22" s="678">
        <f>'1461'!F22:G22</f>
        <v>3.6970000000000001</v>
      </c>
      <c r="G22" s="678"/>
      <c r="H22" s="80">
        <f t="shared" si="2"/>
        <v>37.006999999999998</v>
      </c>
      <c r="I22" s="101">
        <f t="shared" si="3"/>
        <v>205332.75</v>
      </c>
      <c r="N22" s="616" t="s">
        <v>81</v>
      </c>
      <c r="O22" s="616"/>
      <c r="P22" s="657">
        <f t="shared" si="0"/>
        <v>10.01</v>
      </c>
      <c r="Q22" s="657"/>
      <c r="R22" s="662">
        <v>1</v>
      </c>
      <c r="S22" s="662"/>
      <c r="T22" s="95">
        <f t="shared" si="4"/>
        <v>10.01</v>
      </c>
      <c r="U22" s="472">
        <f t="shared" si="5"/>
        <v>55540.32</v>
      </c>
    </row>
    <row r="23" spans="1:21" x14ac:dyDescent="0.25">
      <c r="A23" s="593" t="s">
        <v>82</v>
      </c>
      <c r="B23" s="593"/>
      <c r="C23" s="143">
        <v>0</v>
      </c>
      <c r="D23" s="143">
        <v>0</v>
      </c>
      <c r="E23" s="116">
        <f t="shared" si="1"/>
        <v>0</v>
      </c>
      <c r="F23" s="678">
        <f>'1461'!F23:G23</f>
        <v>5.992</v>
      </c>
      <c r="G23" s="678"/>
      <c r="H23" s="80">
        <f t="shared" si="2"/>
        <v>0</v>
      </c>
      <c r="I23" s="101">
        <f t="shared" si="3"/>
        <v>0</v>
      </c>
      <c r="N23" s="616" t="s">
        <v>82</v>
      </c>
      <c r="O23" s="616"/>
      <c r="P23" s="657">
        <f t="shared" si="0"/>
        <v>0</v>
      </c>
      <c r="Q23" s="657"/>
      <c r="R23" s="662">
        <v>1</v>
      </c>
      <c r="S23" s="662"/>
      <c r="T23" s="95">
        <f t="shared" si="4"/>
        <v>0</v>
      </c>
      <c r="U23" s="472">
        <f t="shared" si="5"/>
        <v>0</v>
      </c>
    </row>
    <row r="24" spans="1:21" x14ac:dyDescent="0.25">
      <c r="A24" s="593" t="s">
        <v>83</v>
      </c>
      <c r="B24" s="593"/>
      <c r="C24" s="143">
        <v>0</v>
      </c>
      <c r="D24" s="143">
        <v>0</v>
      </c>
      <c r="E24" s="116">
        <f t="shared" si="1"/>
        <v>0</v>
      </c>
      <c r="F24" s="678">
        <f>'1461'!F24:G24</f>
        <v>5.992</v>
      </c>
      <c r="G24" s="678"/>
      <c r="H24" s="80">
        <f t="shared" si="2"/>
        <v>0</v>
      </c>
      <c r="I24" s="101">
        <f t="shared" si="3"/>
        <v>0</v>
      </c>
      <c r="N24" s="616" t="s">
        <v>83</v>
      </c>
      <c r="O24" s="616"/>
      <c r="P24" s="657">
        <f t="shared" si="0"/>
        <v>0</v>
      </c>
      <c r="Q24" s="657"/>
      <c r="R24" s="662">
        <v>1</v>
      </c>
      <c r="S24" s="662"/>
      <c r="T24" s="95">
        <f t="shared" si="4"/>
        <v>0</v>
      </c>
      <c r="U24" s="472">
        <f t="shared" si="5"/>
        <v>0</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35.39</v>
      </c>
      <c r="D30" s="94">
        <f>SUM(D14:D29)</f>
        <v>36.56</v>
      </c>
      <c r="E30" s="94">
        <f>SUM(E14:E29)</f>
        <v>71.95</v>
      </c>
      <c r="F30" s="597"/>
      <c r="G30" s="597"/>
      <c r="H30" s="99">
        <f>SUM(H14:H29)</f>
        <v>97.584299999999999</v>
      </c>
      <c r="I30" s="94">
        <f>SUM(I14:I29)</f>
        <v>541444.92999999993</v>
      </c>
      <c r="N30" s="659" t="s">
        <v>5</v>
      </c>
      <c r="O30" s="659"/>
      <c r="P30" s="660">
        <f>SUM(P14:P29)</f>
        <v>71.95</v>
      </c>
      <c r="Q30" s="660"/>
      <c r="R30" s="632"/>
      <c r="S30" s="632"/>
      <c r="T30" s="100">
        <f>SUM(T14:T29)</f>
        <v>71.95</v>
      </c>
      <c r="U30" s="472">
        <f>SUM(U14:U29)</f>
        <v>399213.42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97.584299999999999</v>
      </c>
      <c r="F46" s="34"/>
      <c r="G46" s="106"/>
      <c r="H46" s="107" t="s">
        <v>98</v>
      </c>
      <c r="I46" s="94">
        <f>SUM(I44,I30)</f>
        <v>541444.92999999993</v>
      </c>
      <c r="N46" s="618" t="s">
        <v>44</v>
      </c>
      <c r="O46" s="618"/>
      <c r="P46" s="618"/>
      <c r="Q46" s="618"/>
      <c r="R46" s="35">
        <f>R44+T30</f>
        <v>71.95</v>
      </c>
      <c r="S46" s="632" t="s">
        <v>42</v>
      </c>
      <c r="T46" s="632"/>
      <c r="U46" s="108">
        <f>SUM(U44,U30)</f>
        <v>399213.42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541444.92999999993</v>
      </c>
      <c r="G51" s="109" t="s">
        <v>6</v>
      </c>
      <c r="H51" s="400">
        <v>5.5899999999999998E-2</v>
      </c>
      <c r="I51" s="101">
        <f>ROUND(F51*H51,2)</f>
        <v>30266.77</v>
      </c>
      <c r="N51" s="405"/>
      <c r="O51" s="406" t="s">
        <v>513</v>
      </c>
      <c r="P51" s="28"/>
      <c r="Q51" s="44" t="s">
        <v>399</v>
      </c>
      <c r="R51" s="407">
        <f>U30</f>
        <v>399213.42</v>
      </c>
      <c r="S51" s="408" t="s">
        <v>6</v>
      </c>
      <c r="T51" s="409">
        <v>5.5899999999999998E-2</v>
      </c>
      <c r="U51" s="401">
        <f>ROUND(R51*T51,2)</f>
        <v>22316.03</v>
      </c>
    </row>
    <row r="52" spans="1:22" x14ac:dyDescent="0.25">
      <c r="A52" s="26"/>
      <c r="B52" s="558" t="s">
        <v>522</v>
      </c>
      <c r="C52" s="26"/>
      <c r="D52" s="26"/>
      <c r="E52" s="43" t="s">
        <v>399</v>
      </c>
      <c r="F52" s="399">
        <v>541444.92999999993</v>
      </c>
      <c r="G52" s="109" t="s">
        <v>6</v>
      </c>
      <c r="H52" s="400">
        <v>1.0699999999999999E-2</v>
      </c>
      <c r="I52" s="101">
        <f>ROUND(F52*H52,2)</f>
        <v>5793.46</v>
      </c>
      <c r="N52" s="28"/>
      <c r="O52" s="559" t="s">
        <v>521</v>
      </c>
      <c r="P52" s="28"/>
      <c r="Q52" s="44" t="s">
        <v>399</v>
      </c>
      <c r="R52" s="407">
        <f>U30</f>
        <v>399213.42</v>
      </c>
      <c r="S52" s="408" t="s">
        <v>6</v>
      </c>
      <c r="T52" s="409">
        <v>1.0699999999999999E-2</v>
      </c>
      <c r="U52" s="410">
        <f>ROUND(R52*T52,2)</f>
        <v>4271.58</v>
      </c>
    </row>
    <row r="53" spans="1:22" x14ac:dyDescent="0.25">
      <c r="A53" s="26"/>
      <c r="B53" s="81" t="s">
        <v>400</v>
      </c>
      <c r="C53" s="26"/>
      <c r="D53" s="26"/>
      <c r="E53" s="43"/>
      <c r="F53" s="399"/>
      <c r="G53" s="109"/>
      <c r="H53" s="400"/>
      <c r="I53" s="97">
        <f>SUM(I51:I52)</f>
        <v>36060.230000000003</v>
      </c>
      <c r="N53" s="28"/>
      <c r="O53" s="382" t="s">
        <v>400</v>
      </c>
      <c r="P53" s="28"/>
      <c r="Q53" s="44"/>
      <c r="R53" s="407"/>
      <c r="S53" s="408"/>
      <c r="T53" s="409"/>
      <c r="U53" s="401">
        <f>SUM(U51:U52)</f>
        <v>26587.61</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2" si="10">IF(D$72=0,C57*2,C57+D57)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v>
      </c>
      <c r="E59" s="116">
        <f t="shared" si="10"/>
        <v>0</v>
      </c>
      <c r="F59" s="442" t="s">
        <v>437</v>
      </c>
      <c r="G59" s="442">
        <v>253</v>
      </c>
      <c r="H59" s="456">
        <f>'1461'!H59</f>
        <v>6896</v>
      </c>
      <c r="I59" s="101">
        <f t="shared" si="11"/>
        <v>0</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0.7</v>
      </c>
      <c r="D63" s="143">
        <v>1.1100000000000001</v>
      </c>
      <c r="E63" s="116">
        <f>IF(D$66=0,C63*2,C63+D63)</f>
        <v>1.81</v>
      </c>
      <c r="F63" s="443" t="s">
        <v>14</v>
      </c>
      <c r="G63" s="442">
        <v>251</v>
      </c>
      <c r="H63" s="456">
        <f>'1461'!H63</f>
        <v>835</v>
      </c>
      <c r="I63" s="101">
        <f t="shared" si="11"/>
        <v>1511.35</v>
      </c>
      <c r="N63" s="634"/>
      <c r="O63" s="634"/>
      <c r="P63" s="637"/>
      <c r="Q63" s="637"/>
      <c r="R63" s="40" t="s">
        <v>14</v>
      </c>
      <c r="S63" s="448">
        <v>251</v>
      </c>
      <c r="T63" s="459">
        <f t="shared" si="12"/>
        <v>835</v>
      </c>
      <c r="U63" s="473">
        <f t="shared" si="13"/>
        <v>0</v>
      </c>
      <c r="V63" s="423"/>
    </row>
    <row r="64" spans="1:22" x14ac:dyDescent="0.25">
      <c r="A64" s="604"/>
      <c r="B64" s="604"/>
      <c r="C64" s="143">
        <v>0.5</v>
      </c>
      <c r="D64" s="143">
        <v>0.9</v>
      </c>
      <c r="E64" s="116">
        <f>IF(D$66=0,C64*2,C64+D64)</f>
        <v>1.4</v>
      </c>
      <c r="F64" s="443" t="s">
        <v>14</v>
      </c>
      <c r="G64" s="442">
        <v>252</v>
      </c>
      <c r="H64" s="456">
        <f>'1461'!H64</f>
        <v>3168</v>
      </c>
      <c r="I64" s="101">
        <f t="shared" si="11"/>
        <v>4435.2</v>
      </c>
      <c r="N64" s="634"/>
      <c r="O64" s="634"/>
      <c r="P64" s="637"/>
      <c r="Q64" s="637"/>
      <c r="R64" s="40" t="s">
        <v>14</v>
      </c>
      <c r="S64" s="448">
        <v>252</v>
      </c>
      <c r="T64" s="459">
        <f t="shared" si="12"/>
        <v>3168</v>
      </c>
      <c r="U64" s="473">
        <f t="shared" si="13"/>
        <v>0</v>
      </c>
      <c r="V64" s="423"/>
    </row>
    <row r="65" spans="1:22" ht="16.5" thickBot="1" x14ac:dyDescent="0.3">
      <c r="A65" s="604"/>
      <c r="B65" s="604"/>
      <c r="C65" s="143">
        <v>28.98</v>
      </c>
      <c r="D65" s="143">
        <v>29.75</v>
      </c>
      <c r="E65" s="116">
        <f>IF(D$66=0,C65*2,C65+D65)</f>
        <v>58.730000000000004</v>
      </c>
      <c r="F65" s="443" t="s">
        <v>14</v>
      </c>
      <c r="G65" s="442">
        <v>253</v>
      </c>
      <c r="H65" s="456">
        <f>'1461'!H65</f>
        <v>6685</v>
      </c>
      <c r="I65" s="101">
        <f t="shared" si="11"/>
        <v>392610.05</v>
      </c>
      <c r="N65" s="634"/>
      <c r="O65" s="634"/>
      <c r="P65" s="638"/>
      <c r="Q65" s="638"/>
      <c r="R65" s="40" t="s">
        <v>14</v>
      </c>
      <c r="S65" s="448">
        <v>253</v>
      </c>
      <c r="T65" s="459">
        <f t="shared" si="12"/>
        <v>6685</v>
      </c>
      <c r="U65" s="474">
        <f t="shared" si="13"/>
        <v>0</v>
      </c>
      <c r="V65" s="423"/>
    </row>
    <row r="66" spans="1:22" ht="16.5" thickBot="1" x14ac:dyDescent="0.3">
      <c r="A66" s="439"/>
      <c r="C66" s="97">
        <f>SUM(C57:C65)</f>
        <v>30.18</v>
      </c>
      <c r="D66" s="97">
        <f>SUM(D57:D65)</f>
        <v>31.76</v>
      </c>
      <c r="E66" s="97">
        <f>SUM(E57:E65)</f>
        <v>61.940000000000005</v>
      </c>
      <c r="F66" s="605" t="s">
        <v>446</v>
      </c>
      <c r="G66" s="605"/>
      <c r="H66" s="605"/>
      <c r="I66" s="97">
        <f>SUM(I57:I65)</f>
        <v>398556.6</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71.95</v>
      </c>
      <c r="D69" s="580" t="s">
        <v>412</v>
      </c>
      <c r="E69" s="580"/>
      <c r="F69" s="580"/>
      <c r="G69" s="580"/>
      <c r="H69" s="299">
        <f>'1461'!H69</f>
        <v>210228.91</v>
      </c>
      <c r="I69" s="113"/>
      <c r="N69" s="615" t="s">
        <v>405</v>
      </c>
      <c r="O69" s="616"/>
      <c r="P69" s="41">
        <f>P30</f>
        <v>71.95</v>
      </c>
      <c r="Q69" s="621" t="s">
        <v>407</v>
      </c>
      <c r="R69" s="622"/>
      <c r="S69" s="622"/>
      <c r="T69" s="619">
        <f>H69</f>
        <v>210228.91</v>
      </c>
      <c r="U69" s="619"/>
    </row>
    <row r="70" spans="1:22" x14ac:dyDescent="0.25">
      <c r="B70" s="69"/>
      <c r="G70" s="42" t="s">
        <v>12</v>
      </c>
      <c r="H70" s="114">
        <f>ROUND(C69/H69,6)</f>
        <v>3.4200000000000002E-4</v>
      </c>
      <c r="I70" s="115"/>
      <c r="N70" s="616"/>
      <c r="O70" s="616"/>
      <c r="P70" s="616"/>
      <c r="Q70" s="616"/>
      <c r="R70" s="616"/>
      <c r="S70" s="616"/>
      <c r="T70" s="620">
        <f>ROUND(P69/T69,6)</f>
        <v>3.4200000000000002E-4</v>
      </c>
      <c r="U70" s="620"/>
    </row>
    <row r="71" spans="1:22" x14ac:dyDescent="0.25">
      <c r="A71" s="441" t="s">
        <v>449</v>
      </c>
      <c r="N71" s="452" t="s">
        <v>457</v>
      </c>
      <c r="O71" s="51"/>
      <c r="P71" s="51"/>
      <c r="Q71" s="51"/>
      <c r="R71" s="51"/>
      <c r="S71" s="51"/>
      <c r="T71" s="51"/>
      <c r="U71" s="51"/>
    </row>
    <row r="72" spans="1:22" x14ac:dyDescent="0.25">
      <c r="A72" s="599" t="s">
        <v>402</v>
      </c>
      <c r="B72" s="593"/>
      <c r="C72" s="112">
        <f>H30</f>
        <v>97.584299999999999</v>
      </c>
      <c r="D72" s="580" t="s">
        <v>413</v>
      </c>
      <c r="E72" s="580"/>
      <c r="F72" s="580"/>
      <c r="G72" s="580"/>
      <c r="H72" s="300">
        <f>'1461'!H72</f>
        <v>234891.44</v>
      </c>
      <c r="I72" s="116"/>
      <c r="N72" s="615" t="s">
        <v>406</v>
      </c>
      <c r="O72" s="616"/>
      <c r="P72" s="41">
        <f>T30</f>
        <v>71.95</v>
      </c>
      <c r="Q72" s="621" t="s">
        <v>408</v>
      </c>
      <c r="R72" s="622"/>
      <c r="S72" s="622"/>
      <c r="T72" s="619">
        <f>H72</f>
        <v>234891.44</v>
      </c>
      <c r="U72" s="619"/>
    </row>
    <row r="73" spans="1:22" x14ac:dyDescent="0.25">
      <c r="G73" s="42" t="s">
        <v>12</v>
      </c>
      <c r="H73" s="114">
        <f>ROUND(C72/H72,6)</f>
        <v>4.15E-4</v>
      </c>
      <c r="I73" s="114"/>
      <c r="N73" s="616"/>
      <c r="O73" s="616"/>
      <c r="P73" s="616"/>
      <c r="Q73" s="616"/>
      <c r="R73" s="616"/>
      <c r="S73" s="616"/>
      <c r="T73" s="620">
        <f>ROUND(P72/T72,6)</f>
        <v>3.0600000000000001E-4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71.95</v>
      </c>
      <c r="D75" s="572" t="s">
        <v>414</v>
      </c>
      <c r="E75" s="572"/>
      <c r="F75" s="572"/>
      <c r="G75" s="572"/>
      <c r="H75" s="299">
        <f>'1461'!H75</f>
        <v>187665.41</v>
      </c>
      <c r="I75" s="113"/>
      <c r="N75" s="615" t="s">
        <v>404</v>
      </c>
      <c r="O75" s="616"/>
      <c r="P75" s="41">
        <f>P30</f>
        <v>71.95</v>
      </c>
      <c r="Q75" s="651" t="s">
        <v>409</v>
      </c>
      <c r="R75" s="652"/>
      <c r="S75" s="652"/>
      <c r="T75" s="619">
        <f>H75</f>
        <v>187665.41</v>
      </c>
      <c r="U75" s="619"/>
    </row>
    <row r="76" spans="1:22" x14ac:dyDescent="0.25">
      <c r="B76" s="69"/>
      <c r="G76" s="42" t="s">
        <v>12</v>
      </c>
      <c r="H76" s="114">
        <f>ROUND(C75/H75,6)</f>
        <v>3.8299999999999999E-4</v>
      </c>
      <c r="I76" s="115"/>
      <c r="N76" s="616"/>
      <c r="O76" s="616"/>
      <c r="P76" s="616"/>
      <c r="Q76" s="616"/>
      <c r="R76" s="616"/>
      <c r="S76" s="616"/>
      <c r="T76" s="620">
        <f>ROUND(P75/T75,6)</f>
        <v>3.8299999999999999E-4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71.95</v>
      </c>
      <c r="D78" s="600" t="s">
        <v>415</v>
      </c>
      <c r="E78" s="600"/>
      <c r="F78" s="600"/>
      <c r="G78" s="600"/>
      <c r="H78" s="299">
        <f>'1461'!H78</f>
        <v>209892.26</v>
      </c>
      <c r="I78" s="113"/>
      <c r="N78" s="615" t="s">
        <v>404</v>
      </c>
      <c r="O78" s="616"/>
      <c r="P78" s="41">
        <f>P30</f>
        <v>71.95</v>
      </c>
      <c r="Q78" s="649" t="s">
        <v>410</v>
      </c>
      <c r="R78" s="650"/>
      <c r="S78" s="650"/>
      <c r="T78" s="619">
        <f>H78</f>
        <v>209892.26</v>
      </c>
      <c r="U78" s="619"/>
    </row>
    <row r="79" spans="1:22" x14ac:dyDescent="0.25">
      <c r="B79" s="69"/>
      <c r="G79" s="42" t="s">
        <v>12</v>
      </c>
      <c r="H79" s="114">
        <f>ROUND(C78/H78,6)</f>
        <v>3.4299999999999999E-4</v>
      </c>
      <c r="I79" s="115"/>
      <c r="N79" s="616"/>
      <c r="O79" s="616"/>
      <c r="P79" s="616"/>
      <c r="Q79" s="616"/>
      <c r="R79" s="616"/>
      <c r="S79" s="616"/>
      <c r="T79" s="620">
        <f>ROUND(P78/T78,6)</f>
        <v>3.4299999999999999E-4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71.95</v>
      </c>
      <c r="D81" s="572" t="s">
        <v>416</v>
      </c>
      <c r="E81" s="572"/>
      <c r="F81" s="572"/>
      <c r="G81" s="572"/>
      <c r="H81" s="299">
        <f>'1461'!H81</f>
        <v>187328.76</v>
      </c>
      <c r="I81" s="113"/>
      <c r="N81" s="615" t="s">
        <v>417</v>
      </c>
      <c r="O81" s="616"/>
      <c r="P81" s="41">
        <f>P30</f>
        <v>71.95</v>
      </c>
      <c r="Q81" s="651" t="s">
        <v>418</v>
      </c>
      <c r="R81" s="652"/>
      <c r="S81" s="652"/>
      <c r="T81" s="619">
        <f>H81</f>
        <v>187328.76</v>
      </c>
      <c r="U81" s="619"/>
    </row>
    <row r="82" spans="1:21" x14ac:dyDescent="0.25">
      <c r="B82" s="69"/>
      <c r="G82" s="42" t="s">
        <v>12</v>
      </c>
      <c r="H82" s="114">
        <f>ROUND(C81/H81,6)</f>
        <v>3.8400000000000001E-4</v>
      </c>
      <c r="I82" s="115"/>
      <c r="N82" s="616"/>
      <c r="O82" s="616"/>
      <c r="P82" s="616"/>
      <c r="Q82" s="616"/>
      <c r="R82" s="616"/>
      <c r="S82" s="616"/>
      <c r="T82" s="620">
        <f>ROUND(P81/T81,6)</f>
        <v>3.8400000000000001E-4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3.4299999999999999E-4</v>
      </c>
      <c r="I85" s="101">
        <f>ROUND(F85*H85,2)</f>
        <v>15834.15</v>
      </c>
      <c r="N85" s="452" t="s">
        <v>453</v>
      </c>
      <c r="O85" s="51"/>
      <c r="P85" s="51"/>
      <c r="Q85" s="44"/>
      <c r="R85" s="418">
        <f>F85</f>
        <v>46163704</v>
      </c>
      <c r="S85" s="38" t="s">
        <v>6</v>
      </c>
      <c r="T85" s="420">
        <f>T79</f>
        <v>3.4299999999999999E-4</v>
      </c>
      <c r="U85" s="472">
        <f>ROUND(R85*T85,2)</f>
        <v>15834.15</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3.4200000000000002E-4</v>
      </c>
      <c r="I88" s="101">
        <f>ROUND(F88*H88,2)</f>
        <v>0</v>
      </c>
      <c r="N88" s="653" t="s">
        <v>99</v>
      </c>
      <c r="O88" s="616"/>
      <c r="P88" s="616"/>
      <c r="Q88" s="44"/>
      <c r="R88" s="418">
        <f>F88</f>
        <v>0</v>
      </c>
      <c r="S88" s="38" t="s">
        <v>6</v>
      </c>
      <c r="T88" s="420">
        <f>T70</f>
        <v>3.4200000000000002E-4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3.8400000000000001E-4</v>
      </c>
      <c r="I90" s="101">
        <f>ROUND(F90*H90,2)</f>
        <v>7312.14</v>
      </c>
      <c r="N90" s="452" t="s">
        <v>454</v>
      </c>
      <c r="O90" s="51"/>
      <c r="P90" s="51"/>
      <c r="Q90" s="44"/>
      <c r="R90" s="418">
        <f>F90</f>
        <v>19042026</v>
      </c>
      <c r="S90" s="38" t="s">
        <v>6</v>
      </c>
      <c r="T90" s="420">
        <f>T82</f>
        <v>3.8400000000000001E-4</v>
      </c>
      <c r="U90" s="472">
        <f>ROUND(R90*T90,2)</f>
        <v>7312.14</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3.8299999999999999E-4</v>
      </c>
      <c r="I92" s="101">
        <f t="shared" ref="I92:I96" si="14">ROUND(F92*H92,2)</f>
        <v>4381.96</v>
      </c>
      <c r="N92" s="452" t="s">
        <v>455</v>
      </c>
      <c r="O92" s="51"/>
      <c r="P92" s="51"/>
      <c r="Q92" s="44"/>
      <c r="R92" s="418">
        <f t="shared" ref="R92:R96" si="15">F92</f>
        <v>11441151</v>
      </c>
      <c r="S92" s="38" t="s">
        <v>6</v>
      </c>
      <c r="T92" s="420">
        <f>T76</f>
        <v>3.8299999999999999E-4</v>
      </c>
      <c r="U92" s="472">
        <f>ROUND(R92*T92,2)</f>
        <v>4381.96</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4.15E-4</v>
      </c>
      <c r="I94" s="101">
        <f t="shared" si="14"/>
        <v>106139.08</v>
      </c>
      <c r="N94" s="616" t="s">
        <v>420</v>
      </c>
      <c r="O94" s="616"/>
      <c r="P94" s="616"/>
      <c r="Q94" s="44"/>
      <c r="R94" s="418">
        <f t="shared" si="15"/>
        <v>255756816</v>
      </c>
      <c r="S94" s="38" t="s">
        <v>6</v>
      </c>
      <c r="T94" s="420">
        <f>T73</f>
        <v>3.0600000000000001E-4</v>
      </c>
      <c r="U94" s="472">
        <f>ROUND(R94*T94,2)</f>
        <v>78261.59</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4.15E-4</v>
      </c>
      <c r="I96" s="101">
        <f t="shared" si="14"/>
        <v>-658.01</v>
      </c>
      <c r="N96" s="615" t="s">
        <v>421</v>
      </c>
      <c r="O96" s="616"/>
      <c r="P96" s="616"/>
      <c r="Q96" s="44"/>
      <c r="R96" s="418">
        <f t="shared" si="15"/>
        <v>-1585559</v>
      </c>
      <c r="S96" s="38" t="s">
        <v>6</v>
      </c>
      <c r="T96" s="420">
        <f>T73</f>
        <v>3.0600000000000001E-4</v>
      </c>
      <c r="U96" s="472">
        <f>ROUND(R96*T96,2)</f>
        <v>-485.18</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3.4200000000000002E-4</v>
      </c>
      <c r="I98" s="101">
        <f t="shared" ref="I98" si="16">ROUND(F98*H98,2)</f>
        <v>0</v>
      </c>
      <c r="N98" s="532" t="s">
        <v>495</v>
      </c>
      <c r="O98" s="532"/>
      <c r="P98" s="532"/>
      <c r="Q98" s="44"/>
      <c r="R98" s="535">
        <f>F98</f>
        <v>0</v>
      </c>
      <c r="S98" s="533" t="s">
        <v>6</v>
      </c>
      <c r="T98" s="420">
        <f>T70</f>
        <v>3.4200000000000002E-4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81"/>
      <c r="B100" s="69"/>
      <c r="C100" s="69"/>
      <c r="D100" s="69"/>
      <c r="E100" s="43"/>
      <c r="F100" s="117"/>
      <c r="G100" s="37"/>
      <c r="H100" s="421"/>
      <c r="I100" s="101"/>
      <c r="N100" s="382"/>
      <c r="O100" s="45"/>
      <c r="P100" s="45"/>
      <c r="Q100" s="44"/>
      <c r="R100" s="419"/>
      <c r="S100" s="38"/>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0</v>
      </c>
      <c r="D104" s="611"/>
      <c r="E104" s="46">
        <f>H8</f>
        <v>1.0407999999999999</v>
      </c>
      <c r="F104" s="302">
        <f>'1461'!F104</f>
        <v>950.92</v>
      </c>
      <c r="G104" s="39" t="s">
        <v>12</v>
      </c>
      <c r="H104" s="101">
        <f>ROUND(C104*E104*F104,2)</f>
        <v>0</v>
      </c>
      <c r="I104" s="104"/>
      <c r="N104" s="28" t="s">
        <v>17</v>
      </c>
      <c r="O104" s="47">
        <f>T14+T15+T20+T23+T26</f>
        <v>0</v>
      </c>
      <c r="P104" s="626">
        <f>T8</f>
        <v>1.0407999999999999</v>
      </c>
      <c r="Q104" s="626"/>
      <c r="R104" s="48">
        <f>F104</f>
        <v>950.92</v>
      </c>
      <c r="S104" s="40" t="s">
        <v>12</v>
      </c>
      <c r="T104" s="478">
        <f>ROUND(O104*P104*R104,2)</f>
        <v>0</v>
      </c>
      <c r="U104" s="102"/>
    </row>
    <row r="105" spans="1:21" x14ac:dyDescent="0.25">
      <c r="A105" s="49"/>
      <c r="B105" s="49" t="s">
        <v>104</v>
      </c>
      <c r="C105" s="611">
        <f>H16+H17+H21+H24+H27</f>
        <v>0</v>
      </c>
      <c r="D105" s="611"/>
      <c r="E105" s="46">
        <f>H8</f>
        <v>1.0407999999999999</v>
      </c>
      <c r="F105" s="302">
        <f>'1461'!F105</f>
        <v>907.92</v>
      </c>
      <c r="G105" s="39" t="s">
        <v>12</v>
      </c>
      <c r="H105" s="101">
        <f>ROUND(C105*E105*F105,2)</f>
        <v>0</v>
      </c>
      <c r="N105" s="50" t="s">
        <v>13</v>
      </c>
      <c r="O105" s="47">
        <f>T16+T17+T21+T24+T27</f>
        <v>0</v>
      </c>
      <c r="P105" s="626">
        <f>T8</f>
        <v>1.0407999999999999</v>
      </c>
      <c r="Q105" s="626"/>
      <c r="R105" s="48">
        <f>F105</f>
        <v>907.92</v>
      </c>
      <c r="S105" s="40" t="s">
        <v>12</v>
      </c>
      <c r="T105" s="478">
        <f>ROUND(O105*P105*R105,2)</f>
        <v>0</v>
      </c>
      <c r="U105" s="51"/>
    </row>
    <row r="106" spans="1:21" ht="16.5" thickBot="1" x14ac:dyDescent="0.3">
      <c r="A106" s="52"/>
      <c r="B106" s="52" t="s">
        <v>103</v>
      </c>
      <c r="C106" s="611">
        <f>H18+H19+H22+H25+H28+H29</f>
        <v>97.584299999999999</v>
      </c>
      <c r="D106" s="611"/>
      <c r="E106" s="46">
        <f>H8</f>
        <v>1.0407999999999999</v>
      </c>
      <c r="F106" s="302">
        <f>'1461'!F106</f>
        <v>910.12</v>
      </c>
      <c r="G106" s="39" t="s">
        <v>12</v>
      </c>
      <c r="H106" s="94">
        <f>ROUND(C106*E106*F106,2)</f>
        <v>92437.01</v>
      </c>
      <c r="N106" s="53" t="s">
        <v>14</v>
      </c>
      <c r="O106" s="54">
        <f>T18+T19+T22+T25+T28+T29</f>
        <v>71.95</v>
      </c>
      <c r="P106" s="626">
        <f>T8</f>
        <v>1.0407999999999999</v>
      </c>
      <c r="Q106" s="626"/>
      <c r="R106" s="48">
        <f>F106</f>
        <v>910.12</v>
      </c>
      <c r="S106" s="40" t="s">
        <v>12</v>
      </c>
      <c r="T106" s="478">
        <f>ROUND(O106*P106*R106,2)</f>
        <v>68154.850000000006</v>
      </c>
      <c r="U106" s="51"/>
    </row>
    <row r="107" spans="1:21" ht="16.5" thickBot="1" x14ac:dyDescent="0.3">
      <c r="A107" s="55"/>
      <c r="B107" s="122" t="s">
        <v>102</v>
      </c>
      <c r="C107" s="601">
        <f>SUM(C104:C106)</f>
        <v>97.584299999999999</v>
      </c>
      <c r="D107" s="601"/>
      <c r="E107" s="123"/>
      <c r="F107" s="123"/>
      <c r="G107" s="123"/>
      <c r="H107" s="124" t="s">
        <v>100</v>
      </c>
      <c r="I107" s="101">
        <f>IF(A1=75,0,H106+H105+H104)</f>
        <v>92437.01</v>
      </c>
      <c r="N107" s="56" t="s">
        <v>89</v>
      </c>
      <c r="O107" s="57">
        <f>SUM(O104:O106)</f>
        <v>71.95</v>
      </c>
      <c r="P107" s="627" t="s">
        <v>16</v>
      </c>
      <c r="Q107" s="628"/>
      <c r="R107" s="628"/>
      <c r="S107" s="628"/>
      <c r="T107" s="628"/>
      <c r="U107" s="472">
        <f>IF(N1=75,0,T106+T105+T104)</f>
        <v>68154.850000000006</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8"/>
      <c r="D110" s="8"/>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34</v>
      </c>
      <c r="D113" s="143">
        <v>36</v>
      </c>
      <c r="E113" s="116">
        <f>(C113+D113)/2</f>
        <v>35</v>
      </c>
      <c r="F113" s="126" t="s">
        <v>30</v>
      </c>
      <c r="G113" s="303">
        <f>'1461'!G113</f>
        <v>567</v>
      </c>
      <c r="I113" s="101">
        <f>ROUND(G113*E113,2)</f>
        <v>19845</v>
      </c>
      <c r="N113" s="645" t="s">
        <v>52</v>
      </c>
      <c r="O113" s="645"/>
      <c r="P113" s="625">
        <f>IF(H133=1,E113,0)</f>
        <v>35</v>
      </c>
      <c r="Q113" s="625"/>
      <c r="R113" s="625"/>
      <c r="S113" s="83" t="s">
        <v>30</v>
      </c>
      <c r="T113" s="58">
        <f>G113</f>
        <v>567</v>
      </c>
      <c r="U113" s="472">
        <f>ROUND(T113*P113,2)</f>
        <v>19845</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1185292.8599999999</v>
      </c>
      <c r="N128" s="452"/>
      <c r="O128" s="451"/>
      <c r="P128" s="451"/>
      <c r="Q128" s="305"/>
      <c r="R128" s="305"/>
      <c r="S128" s="305"/>
      <c r="T128" s="305"/>
      <c r="U128" s="479">
        <f>SUM(U30,U85,U88,U90,U92,U94,U96,U107,U113,U114,U124,U126)</f>
        <v>592517.93000000005</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1149232.6299999999</v>
      </c>
      <c r="N130" s="616" t="s">
        <v>432</v>
      </c>
      <c r="O130" s="616"/>
      <c r="P130" s="616"/>
      <c r="Q130" s="616"/>
      <c r="R130" s="616"/>
      <c r="S130" s="616"/>
      <c r="T130" s="616"/>
      <c r="U130" s="132">
        <f>U128-U53</f>
        <v>565930.32000000007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565930.32000000007</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565930.32000000007</v>
      </c>
      <c r="I135" s="94">
        <f>ROUND(IF(E30=0,0,IF(E30&gt;250,-(((250/E30)*H135)*IF(G135="H",0.02,0.05)),IF(G135="H",-0.02*H135,-0.05*H135))),2)</f>
        <v>-28296.52</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1156996.3399999999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Payments'!Q70</f>
        <v>-192622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964374.33999999985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96437.43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4" t="str">
        <f>'1461'!A152</f>
        <v>(a) Additional FTE includes FTE earned through Advanced Placement, International Baccalaureate, Advanced International Certificate of Education, Industry Certified Career</v>
      </c>
      <c r="B152" s="345"/>
      <c r="C152" s="345"/>
      <c r="D152" s="345"/>
      <c r="E152" s="345"/>
      <c r="F152" s="345"/>
      <c r="G152" s="345"/>
      <c r="H152" s="345"/>
      <c r="I152" s="345"/>
      <c r="J152" s="77"/>
      <c r="K152" s="76"/>
      <c r="L152" s="76"/>
      <c r="M152" s="76"/>
      <c r="N152" s="73"/>
      <c r="O152" s="73"/>
      <c r="P152" s="73"/>
      <c r="Q152" s="73"/>
      <c r="R152" s="73"/>
      <c r="S152" s="73"/>
      <c r="T152" s="73"/>
      <c r="U152" s="73"/>
    </row>
    <row r="153" spans="1:21" ht="15.75" customHeight="1" x14ac:dyDescent="0.25">
      <c r="A153" s="350" t="s">
        <v>372</v>
      </c>
      <c r="B153" s="345"/>
      <c r="C153" s="345"/>
      <c r="D153" s="345"/>
      <c r="E153" s="345"/>
      <c r="F153" s="345"/>
      <c r="G153" s="345"/>
      <c r="H153" s="345"/>
      <c r="I153" s="345"/>
      <c r="J153" s="77"/>
      <c r="K153" s="76"/>
      <c r="L153" s="76"/>
      <c r="M153" s="76"/>
      <c r="N153" s="73"/>
      <c r="O153" s="73"/>
      <c r="P153" s="73"/>
      <c r="Q153" s="73"/>
      <c r="R153" s="73"/>
      <c r="S153" s="73"/>
      <c r="T153" s="73"/>
      <c r="U153" s="73"/>
    </row>
    <row r="154" spans="1:21" x14ac:dyDescent="0.25">
      <c r="A154" s="344" t="s">
        <v>373</v>
      </c>
      <c r="B154" s="346"/>
      <c r="C154" s="346"/>
      <c r="D154" s="346"/>
      <c r="E154" s="346"/>
      <c r="F154" s="346"/>
      <c r="G154" s="346"/>
      <c r="H154" s="346"/>
      <c r="I154" s="346"/>
      <c r="J154" s="76"/>
      <c r="K154" s="76"/>
      <c r="L154" s="76"/>
      <c r="M154" s="76"/>
      <c r="N154" s="73"/>
      <c r="O154" s="73"/>
      <c r="P154" s="73"/>
      <c r="Q154" s="73"/>
      <c r="R154" s="73"/>
      <c r="S154" s="73"/>
      <c r="T154" s="73"/>
      <c r="U154" s="73"/>
    </row>
    <row r="155" spans="1:21" s="76" customFormat="1" x14ac:dyDescent="0.2">
      <c r="A155" s="344" t="s">
        <v>374</v>
      </c>
      <c r="B155" s="346"/>
      <c r="C155" s="346"/>
      <c r="D155" s="346"/>
      <c r="E155" s="346"/>
      <c r="F155" s="346"/>
      <c r="G155" s="346"/>
      <c r="H155" s="346"/>
      <c r="I155" s="346"/>
      <c r="N155" s="640"/>
      <c r="O155" s="640"/>
      <c r="P155" s="640"/>
      <c r="Q155" s="640"/>
      <c r="R155" s="640"/>
      <c r="S155" s="640"/>
      <c r="T155" s="640"/>
      <c r="U155" s="640"/>
    </row>
    <row r="156" spans="1:21" s="76" customFormat="1" x14ac:dyDescent="0.2">
      <c r="A156" s="344" t="s">
        <v>375</v>
      </c>
      <c r="B156" s="346"/>
      <c r="C156" s="346"/>
      <c r="D156" s="346"/>
      <c r="E156" s="346"/>
      <c r="F156" s="346"/>
      <c r="G156" s="346"/>
      <c r="H156" s="346"/>
      <c r="I156" s="346"/>
      <c r="N156" s="73"/>
      <c r="O156" s="73"/>
      <c r="P156" s="73"/>
      <c r="Q156" s="73"/>
      <c r="R156" s="73"/>
      <c r="S156" s="73"/>
      <c r="T156" s="73"/>
      <c r="U156" s="73"/>
    </row>
    <row r="157" spans="1:21" s="76" customFormat="1" x14ac:dyDescent="0.2">
      <c r="A157" s="344" t="s">
        <v>376</v>
      </c>
      <c r="B157" s="346"/>
      <c r="C157" s="346"/>
      <c r="D157" s="346"/>
      <c r="E157" s="346"/>
      <c r="F157" s="346"/>
      <c r="G157" s="346"/>
      <c r="H157" s="346"/>
      <c r="I157" s="346"/>
      <c r="N157" s="78"/>
      <c r="O157" s="79"/>
      <c r="P157" s="79"/>
      <c r="Q157" s="79"/>
      <c r="R157" s="79"/>
      <c r="S157" s="79"/>
      <c r="T157" s="79"/>
      <c r="U157" s="79"/>
    </row>
    <row r="158" spans="1:21" s="76" customFormat="1" x14ac:dyDescent="0.2">
      <c r="A158" s="344" t="s">
        <v>377</v>
      </c>
      <c r="B158" s="346"/>
      <c r="C158" s="346"/>
      <c r="D158" s="346"/>
      <c r="E158" s="346"/>
      <c r="F158" s="346"/>
      <c r="G158" s="346"/>
      <c r="H158" s="346"/>
      <c r="I158" s="346"/>
      <c r="N158" s="78"/>
    </row>
    <row r="159" spans="1:21" s="76" customFormat="1" x14ac:dyDescent="0.2">
      <c r="A159" s="344" t="s">
        <v>379</v>
      </c>
      <c r="B159" s="346"/>
      <c r="C159" s="346"/>
      <c r="D159" s="346"/>
      <c r="E159" s="346"/>
      <c r="F159" s="346"/>
      <c r="G159" s="346"/>
      <c r="H159" s="346"/>
      <c r="I159" s="346"/>
      <c r="N159" s="78"/>
    </row>
    <row r="160" spans="1:21" s="76" customFormat="1" x14ac:dyDescent="0.2">
      <c r="A160" s="350" t="s">
        <v>378</v>
      </c>
      <c r="B160" s="346"/>
      <c r="C160" s="346"/>
      <c r="D160" s="346"/>
      <c r="E160" s="346"/>
      <c r="F160" s="346"/>
      <c r="G160" s="346"/>
      <c r="H160" s="346"/>
      <c r="I160" s="346"/>
      <c r="N160" s="78"/>
    </row>
    <row r="161" spans="1:14" s="76" customFormat="1" x14ac:dyDescent="0.2">
      <c r="A161" s="344" t="s">
        <v>380</v>
      </c>
      <c r="B161" s="346"/>
      <c r="C161" s="346"/>
      <c r="D161" s="346"/>
      <c r="E161" s="346"/>
      <c r="F161" s="346"/>
      <c r="G161" s="346"/>
      <c r="H161" s="346"/>
      <c r="I161" s="346"/>
      <c r="N161" s="78"/>
    </row>
    <row r="162" spans="1:14" s="76" customFormat="1" x14ac:dyDescent="0.2">
      <c r="A162" s="350" t="str">
        <f>'1461'!A162</f>
        <v>"All Adjusted ESE Riders" should include only ESE Riders.</v>
      </c>
      <c r="B162" s="346"/>
      <c r="C162" s="346"/>
      <c r="D162" s="346"/>
      <c r="E162" s="346"/>
      <c r="F162" s="346"/>
      <c r="G162" s="346"/>
      <c r="H162" s="346"/>
      <c r="I162" s="346"/>
      <c r="N162" s="78"/>
    </row>
    <row r="163" spans="1:14" s="76" customFormat="1" x14ac:dyDescent="0.2">
      <c r="A163" s="344" t="s">
        <v>383</v>
      </c>
      <c r="B163" s="346"/>
      <c r="C163" s="346"/>
      <c r="D163" s="346"/>
      <c r="E163" s="346"/>
      <c r="F163" s="346"/>
      <c r="G163" s="346"/>
      <c r="H163" s="346"/>
      <c r="I163" s="346"/>
      <c r="N163" s="78"/>
    </row>
    <row r="164" spans="1:14" s="76" customFormat="1" ht="15.75" customHeight="1" x14ac:dyDescent="0.2">
      <c r="A164" s="344" t="str">
        <f>'1461'!A164</f>
        <v xml:space="preserve">(j) Funding based on student eligibility and meals provided, if participating in the National School Lunch Program. </v>
      </c>
      <c r="B164" s="346"/>
      <c r="C164" s="346"/>
      <c r="D164" s="346"/>
      <c r="E164" s="346"/>
      <c r="F164" s="346"/>
      <c r="G164" s="346"/>
      <c r="H164" s="346"/>
      <c r="I164" s="346"/>
      <c r="N164" s="78"/>
    </row>
    <row r="165" spans="1:14" s="76" customFormat="1" ht="15.75" customHeight="1" x14ac:dyDescent="0.2">
      <c r="A165" s="344" t="s">
        <v>385</v>
      </c>
      <c r="B165" s="346"/>
      <c r="C165" s="346"/>
      <c r="D165" s="346"/>
      <c r="E165" s="346"/>
      <c r="F165" s="346"/>
      <c r="G165" s="346"/>
      <c r="H165" s="346"/>
      <c r="I165" s="346"/>
      <c r="N165" s="78"/>
    </row>
    <row r="166" spans="1:14" s="76" customFormat="1" ht="15.75" customHeight="1" x14ac:dyDescent="0.2">
      <c r="A166" s="350" t="s">
        <v>384</v>
      </c>
      <c r="B166" s="346"/>
      <c r="C166" s="346"/>
      <c r="D166" s="346"/>
      <c r="E166" s="346"/>
      <c r="F166" s="346"/>
      <c r="G166" s="346"/>
      <c r="H166" s="346"/>
      <c r="I166" s="346"/>
      <c r="N166" s="78"/>
    </row>
    <row r="167" spans="1:14" s="76" customFormat="1" ht="15.75" customHeight="1" x14ac:dyDescent="0.2">
      <c r="A167" s="344" t="s">
        <v>386</v>
      </c>
      <c r="B167" s="346"/>
      <c r="C167" s="346"/>
      <c r="D167" s="346"/>
      <c r="E167" s="346"/>
      <c r="F167" s="346"/>
      <c r="G167" s="346"/>
      <c r="H167" s="346"/>
      <c r="I167" s="346"/>
      <c r="N167" s="78"/>
    </row>
    <row r="168" spans="1:14" s="76" customFormat="1" ht="15.75" customHeight="1" x14ac:dyDescent="0.2">
      <c r="A168" s="350" t="str">
        <f>'1461'!A168</f>
        <v xml:space="preserve">unweighted full-time equivalent students. </v>
      </c>
      <c r="B168" s="346"/>
      <c r="C168" s="346"/>
      <c r="D168" s="346"/>
      <c r="E168" s="346"/>
      <c r="F168" s="346"/>
      <c r="G168" s="346"/>
      <c r="H168" s="346"/>
      <c r="I168" s="346"/>
      <c r="N168" s="78"/>
    </row>
    <row r="169" spans="1:14" s="76" customFormat="1" ht="15.75" customHeight="1" x14ac:dyDescent="0.2">
      <c r="A169" s="344" t="s">
        <v>388</v>
      </c>
      <c r="B169" s="346"/>
      <c r="C169" s="346"/>
      <c r="D169" s="346"/>
      <c r="E169" s="346"/>
      <c r="F169" s="346"/>
      <c r="G169" s="346"/>
      <c r="H169" s="346"/>
      <c r="I169" s="346"/>
      <c r="N169" s="78"/>
    </row>
    <row r="170" spans="1:14" s="76" customFormat="1" ht="15.75" customHeight="1" x14ac:dyDescent="0.2">
      <c r="A170" s="350" t="s">
        <v>387</v>
      </c>
      <c r="B170" s="346"/>
      <c r="C170" s="346"/>
      <c r="D170" s="346"/>
      <c r="E170" s="346"/>
      <c r="F170" s="346"/>
      <c r="G170" s="346"/>
      <c r="H170" s="346"/>
      <c r="I170" s="346"/>
      <c r="N170" s="78"/>
    </row>
    <row r="171" spans="1:14" s="76" customFormat="1" ht="15.75" customHeight="1" x14ac:dyDescent="0.2">
      <c r="A171" s="344"/>
      <c r="B171" s="346"/>
      <c r="C171" s="346"/>
      <c r="D171" s="346"/>
      <c r="E171" s="346"/>
      <c r="F171" s="346"/>
      <c r="G171" s="346"/>
      <c r="H171" s="346"/>
      <c r="I171" s="346"/>
      <c r="N171" s="78"/>
    </row>
    <row r="172" spans="1:14" s="76" customFormat="1" ht="15.75" customHeight="1" x14ac:dyDescent="0.25">
      <c r="A172" s="357" t="str">
        <f>'1461'!A172</f>
        <v>Administrative fees:</v>
      </c>
      <c r="B172" s="346"/>
      <c r="C172" s="346"/>
      <c r="D172" s="346"/>
      <c r="E172" s="346"/>
      <c r="F172" s="346"/>
      <c r="G172" s="346"/>
      <c r="H172" s="346"/>
      <c r="I172" s="346"/>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349"/>
      <c r="C173" s="349"/>
      <c r="D173" s="349"/>
      <c r="E173" s="349"/>
      <c r="F173" s="349"/>
      <c r="G173" s="349"/>
      <c r="H173" s="349"/>
      <c r="I173" s="349"/>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356"/>
      <c r="C174" s="356"/>
      <c r="D174" s="356"/>
      <c r="E174" s="356"/>
      <c r="F174" s="356"/>
      <c r="G174" s="356"/>
      <c r="H174" s="356"/>
      <c r="I174" s="356"/>
      <c r="J174" s="3"/>
      <c r="K174" s="3"/>
      <c r="L174" s="3"/>
      <c r="M174" s="3"/>
      <c r="N174" s="78"/>
    </row>
    <row r="175" spans="1:14" s="76" customFormat="1" ht="15.75" customHeight="1" x14ac:dyDescent="0.25">
      <c r="A175" s="362" t="s">
        <v>389</v>
      </c>
      <c r="B175" s="356"/>
      <c r="C175" s="356"/>
      <c r="D175" s="356"/>
      <c r="E175" s="356"/>
      <c r="F175" s="356"/>
      <c r="G175" s="356"/>
      <c r="H175" s="356"/>
      <c r="I175" s="356"/>
      <c r="J175" s="3"/>
      <c r="K175" s="3"/>
      <c r="L175" s="3"/>
      <c r="M175" s="3"/>
      <c r="N175" s="78"/>
    </row>
    <row r="176" spans="1:14" s="76" customFormat="1" ht="15.75" customHeight="1" x14ac:dyDescent="0.2">
      <c r="A176" s="362" t="s">
        <v>390</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349"/>
      <c r="C178" s="349"/>
      <c r="D178" s="349"/>
      <c r="E178" s="349"/>
      <c r="F178" s="349"/>
      <c r="G178" s="349"/>
      <c r="H178" s="349"/>
      <c r="I178" s="349"/>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9"/>
      <c r="C179" s="349"/>
      <c r="D179" s="349"/>
      <c r="E179" s="349"/>
      <c r="F179" s="349"/>
      <c r="G179" s="349"/>
      <c r="H179" s="349"/>
      <c r="I179" s="349"/>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349"/>
      <c r="C180" s="349"/>
      <c r="D180" s="349"/>
      <c r="E180" s="349"/>
      <c r="F180" s="349"/>
      <c r="G180" s="349"/>
      <c r="H180" s="349"/>
      <c r="I180" s="349"/>
      <c r="N180" s="74"/>
      <c r="O180" s="3"/>
      <c r="P180" s="3"/>
      <c r="Q180" s="3"/>
      <c r="R180" s="3"/>
      <c r="S180" s="3"/>
      <c r="T180" s="3"/>
      <c r="U180" s="3"/>
    </row>
    <row r="181" spans="1:21" x14ac:dyDescent="0.25">
      <c r="A181" s="344"/>
      <c r="B181" s="349"/>
      <c r="C181" s="349"/>
      <c r="D181" s="349"/>
      <c r="E181" s="349"/>
      <c r="F181" s="349"/>
      <c r="G181" s="349"/>
      <c r="H181" s="349"/>
      <c r="I181" s="349"/>
      <c r="N181" s="78"/>
      <c r="O181" s="76"/>
      <c r="P181" s="76"/>
      <c r="Q181" s="76"/>
      <c r="R181" s="76"/>
      <c r="S181" s="76"/>
      <c r="T181" s="76"/>
      <c r="U181" s="76"/>
    </row>
    <row r="182" spans="1:21" x14ac:dyDescent="0.25">
      <c r="A182" s="357" t="str">
        <f>'1461'!A182</f>
        <v>Other:</v>
      </c>
      <c r="B182" s="355"/>
      <c r="C182" s="355"/>
      <c r="D182" s="355"/>
      <c r="E182" s="355"/>
      <c r="F182" s="355"/>
      <c r="G182" s="355"/>
      <c r="H182" s="355"/>
      <c r="I182" s="355"/>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B183" s="349"/>
      <c r="C183" s="349"/>
      <c r="D183" s="349"/>
      <c r="E183" s="349"/>
      <c r="F183" s="349"/>
      <c r="G183" s="349"/>
      <c r="H183" s="349"/>
      <c r="I183" s="349"/>
      <c r="N183" s="78"/>
      <c r="O183" s="76"/>
      <c r="P183" s="76"/>
      <c r="Q183" s="76"/>
      <c r="R183" s="76"/>
      <c r="S183" s="76"/>
      <c r="T183" s="76"/>
      <c r="U183" s="76"/>
    </row>
    <row r="184" spans="1:21" x14ac:dyDescent="0.25">
      <c r="A184" s="362" t="str">
        <f>'1461'!A184</f>
        <v>by the Commissioner of Education.</v>
      </c>
      <c r="B184" s="356"/>
      <c r="C184" s="356"/>
      <c r="D184" s="356"/>
      <c r="E184" s="356"/>
      <c r="F184" s="356"/>
      <c r="G184" s="356"/>
      <c r="H184" s="356"/>
      <c r="I184" s="356"/>
      <c r="N184" s="74"/>
    </row>
    <row r="185" spans="1:21" x14ac:dyDescent="0.25">
      <c r="A185" s="361" t="str">
        <f>'1461'!A185</f>
        <v>Revenues flow to districts from state sources and from county tax collectors on various distribution schedules.</v>
      </c>
      <c r="B185" s="349"/>
      <c r="C185" s="349"/>
      <c r="D185" s="349"/>
      <c r="E185" s="349"/>
      <c r="F185" s="349"/>
      <c r="G185" s="349"/>
      <c r="H185" s="349"/>
      <c r="I185" s="34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112</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333" t="str">
        <f>'1461'!C10</f>
        <v xml:space="preserve"> </v>
      </c>
      <c r="D10" s="333"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1</v>
      </c>
      <c r="D15" s="143">
        <v>0</v>
      </c>
      <c r="E15" s="116">
        <f>IF(D$30=0,C15*2,C15+D15)</f>
        <v>1</v>
      </c>
      <c r="F15" s="678">
        <f>'1461'!F15:G15</f>
        <v>1.1180000000000001</v>
      </c>
      <c r="G15" s="678"/>
      <c r="H15" s="80">
        <f t="shared" ref="H15:H29" si="1">ROUND(E15*F15,4)</f>
        <v>1.1180000000000001</v>
      </c>
      <c r="I15" s="101">
        <f t="shared" ref="I15:I29" si="2">ROUND(ROUND(ROUND(H15*$C$8,4)*($H$8),2)*(MAX($H$9,1)),2)</f>
        <v>6203.21</v>
      </c>
      <c r="J15" s="65" t="str">
        <f>IF(ROUND(E15,2)=ROUND(SUM(E57:E59),2)," ","CHECK PK-3 LINES BELOW")</f>
        <v xml:space="preserve"> </v>
      </c>
      <c r="N15" s="616" t="s">
        <v>21</v>
      </c>
      <c r="O15" s="616"/>
      <c r="P15" s="657">
        <f t="shared" si="0"/>
        <v>1</v>
      </c>
      <c r="Q15" s="657"/>
      <c r="R15" s="662">
        <v>1</v>
      </c>
      <c r="S15" s="662"/>
      <c r="T15" s="95">
        <f t="shared" ref="T15:T29" si="3">ROUND(P15*R15,4)</f>
        <v>1</v>
      </c>
      <c r="U15" s="472">
        <f t="shared" ref="U15:U29" si="4">ROUND(ROUND(ROUND(T15*$C$8,4)*($H$8),2)*(MAX($H$9,1)),2)</f>
        <v>5548.48</v>
      </c>
    </row>
    <row r="16" spans="1:21" x14ac:dyDescent="0.25">
      <c r="A16" s="593" t="s">
        <v>22</v>
      </c>
      <c r="B16" s="593"/>
      <c r="C16" s="143">
        <v>0</v>
      </c>
      <c r="D16" s="143">
        <v>0</v>
      </c>
      <c r="E16" s="116">
        <f t="shared" ref="E16:E29" si="5">IF(D$30=0,C16*2,C16+D16)</f>
        <v>0</v>
      </c>
      <c r="F16" s="678">
        <f>'1461'!F16:G16</f>
        <v>1</v>
      </c>
      <c r="G16" s="678"/>
      <c r="H16" s="80">
        <f t="shared" si="1"/>
        <v>0</v>
      </c>
      <c r="I16" s="101">
        <f t="shared" si="2"/>
        <v>0</v>
      </c>
      <c r="N16" s="616" t="s">
        <v>22</v>
      </c>
      <c r="O16" s="616"/>
      <c r="P16" s="657">
        <f t="shared" si="0"/>
        <v>0</v>
      </c>
      <c r="Q16" s="657"/>
      <c r="R16" s="662">
        <v>1</v>
      </c>
      <c r="S16" s="662"/>
      <c r="T16" s="95">
        <f t="shared" si="3"/>
        <v>0</v>
      </c>
      <c r="U16" s="472">
        <f t="shared" si="4"/>
        <v>0</v>
      </c>
    </row>
    <row r="17" spans="1:21" x14ac:dyDescent="0.25">
      <c r="A17" s="593" t="s">
        <v>23</v>
      </c>
      <c r="B17" s="593"/>
      <c r="C17" s="143">
        <v>0</v>
      </c>
      <c r="D17" s="143">
        <v>0</v>
      </c>
      <c r="E17" s="116">
        <f t="shared" si="5"/>
        <v>0</v>
      </c>
      <c r="F17" s="678">
        <f>'1461'!F17:G17</f>
        <v>1</v>
      </c>
      <c r="G17" s="678"/>
      <c r="H17" s="80">
        <f t="shared" si="1"/>
        <v>0</v>
      </c>
      <c r="I17" s="101">
        <f t="shared" si="2"/>
        <v>0</v>
      </c>
      <c r="J17" s="65" t="str">
        <f>IF(ROUND(E17,2)=ROUND(SUM(E60:E62),2)," ","CHECK 4-8 LINES BELOW")</f>
        <v xml:space="preserve"> </v>
      </c>
      <c r="N17" s="616" t="s">
        <v>23</v>
      </c>
      <c r="O17" s="616"/>
      <c r="P17" s="657">
        <f t="shared" si="0"/>
        <v>0</v>
      </c>
      <c r="Q17" s="657"/>
      <c r="R17" s="662">
        <v>1</v>
      </c>
      <c r="S17" s="662"/>
      <c r="T17" s="95">
        <f t="shared" si="3"/>
        <v>0</v>
      </c>
      <c r="U17" s="472">
        <f t="shared" si="4"/>
        <v>0</v>
      </c>
    </row>
    <row r="18" spans="1:21" x14ac:dyDescent="0.25">
      <c r="A18" s="593" t="s">
        <v>24</v>
      </c>
      <c r="B18" s="593"/>
      <c r="C18" s="143">
        <v>0</v>
      </c>
      <c r="D18" s="143">
        <v>0</v>
      </c>
      <c r="E18" s="116">
        <f t="shared" si="5"/>
        <v>0</v>
      </c>
      <c r="F18" s="678">
        <f>'1461'!F18:G18</f>
        <v>0.97799999999999998</v>
      </c>
      <c r="G18" s="678"/>
      <c r="H18" s="80">
        <f t="shared" si="1"/>
        <v>0</v>
      </c>
      <c r="I18" s="101">
        <f t="shared" si="2"/>
        <v>0</v>
      </c>
      <c r="N18" s="616" t="s">
        <v>24</v>
      </c>
      <c r="O18" s="616"/>
      <c r="P18" s="657">
        <f t="shared" si="0"/>
        <v>0</v>
      </c>
      <c r="Q18" s="657"/>
      <c r="R18" s="662">
        <v>1</v>
      </c>
      <c r="S18" s="662"/>
      <c r="T18" s="95">
        <f t="shared" si="3"/>
        <v>0</v>
      </c>
      <c r="U18" s="472">
        <f t="shared" si="4"/>
        <v>0</v>
      </c>
    </row>
    <row r="19" spans="1:21" x14ac:dyDescent="0.25">
      <c r="A19" s="593" t="s">
        <v>25</v>
      </c>
      <c r="B19" s="593"/>
      <c r="C19" s="143">
        <v>0</v>
      </c>
      <c r="D19" s="143">
        <v>0</v>
      </c>
      <c r="E19" s="116">
        <f t="shared" si="5"/>
        <v>0</v>
      </c>
      <c r="F19" s="678">
        <f>'1461'!F19:G19</f>
        <v>0.97799999999999998</v>
      </c>
      <c r="G19" s="678"/>
      <c r="H19" s="80">
        <f t="shared" si="1"/>
        <v>0</v>
      </c>
      <c r="I19" s="101">
        <f t="shared" si="2"/>
        <v>0</v>
      </c>
      <c r="J19" s="65" t="str">
        <f>IF(ROUND(E19,2)=ROUND(SUM(E63:E65),2)," ","CHECK 4-8 LINES BELOW")</f>
        <v xml:space="preserve"> </v>
      </c>
      <c r="N19" s="616" t="s">
        <v>25</v>
      </c>
      <c r="O19" s="616"/>
      <c r="P19" s="657">
        <f t="shared" si="0"/>
        <v>0</v>
      </c>
      <c r="Q19" s="657"/>
      <c r="R19" s="662">
        <v>1</v>
      </c>
      <c r="S19" s="662"/>
      <c r="T19" s="95">
        <f t="shared" si="3"/>
        <v>0</v>
      </c>
      <c r="U19" s="471">
        <f t="shared" si="4"/>
        <v>0</v>
      </c>
    </row>
    <row r="20" spans="1:21" x14ac:dyDescent="0.25">
      <c r="A20" s="593" t="s">
        <v>79</v>
      </c>
      <c r="B20" s="593"/>
      <c r="C20" s="143">
        <v>1.5</v>
      </c>
      <c r="D20" s="143">
        <v>1.5</v>
      </c>
      <c r="E20" s="116">
        <f t="shared" si="5"/>
        <v>3</v>
      </c>
      <c r="F20" s="678">
        <f>'1461'!F20:G20</f>
        <v>3.6970000000000001</v>
      </c>
      <c r="G20" s="678"/>
      <c r="H20" s="80">
        <f t="shared" si="1"/>
        <v>11.090999999999999</v>
      </c>
      <c r="I20" s="101">
        <f t="shared" si="2"/>
        <v>61538.239999999998</v>
      </c>
      <c r="N20" s="616" t="s">
        <v>79</v>
      </c>
      <c r="O20" s="616"/>
      <c r="P20" s="657">
        <f t="shared" si="0"/>
        <v>3</v>
      </c>
      <c r="Q20" s="657"/>
      <c r="R20" s="662">
        <v>1</v>
      </c>
      <c r="S20" s="662"/>
      <c r="T20" s="95">
        <f t="shared" si="3"/>
        <v>3</v>
      </c>
      <c r="U20" s="472">
        <f t="shared" si="4"/>
        <v>16645.45</v>
      </c>
    </row>
    <row r="21" spans="1:21" x14ac:dyDescent="0.25">
      <c r="A21" s="593" t="s">
        <v>80</v>
      </c>
      <c r="B21" s="593"/>
      <c r="C21" s="143">
        <v>2</v>
      </c>
      <c r="D21" s="143">
        <v>1.5</v>
      </c>
      <c r="E21" s="116">
        <f t="shared" si="5"/>
        <v>3.5</v>
      </c>
      <c r="F21" s="678">
        <f>'1461'!F21:G21</f>
        <v>3.6970000000000001</v>
      </c>
      <c r="G21" s="678"/>
      <c r="H21" s="80">
        <f t="shared" si="1"/>
        <v>12.939500000000001</v>
      </c>
      <c r="I21" s="101">
        <f t="shared" si="2"/>
        <v>71794.61</v>
      </c>
      <c r="N21" s="616" t="s">
        <v>80</v>
      </c>
      <c r="O21" s="616"/>
      <c r="P21" s="657">
        <f t="shared" si="0"/>
        <v>3.5</v>
      </c>
      <c r="Q21" s="657"/>
      <c r="R21" s="662">
        <v>1</v>
      </c>
      <c r="S21" s="662"/>
      <c r="T21" s="95">
        <f t="shared" si="3"/>
        <v>3.5</v>
      </c>
      <c r="U21" s="472">
        <f t="shared" si="4"/>
        <v>19419.689999999999</v>
      </c>
    </row>
    <row r="22" spans="1:21" x14ac:dyDescent="0.25">
      <c r="A22" s="593" t="s">
        <v>81</v>
      </c>
      <c r="B22" s="593"/>
      <c r="C22" s="143">
        <v>0</v>
      </c>
      <c r="D22" s="143">
        <v>0</v>
      </c>
      <c r="E22" s="116">
        <f t="shared" si="5"/>
        <v>0</v>
      </c>
      <c r="F22" s="678">
        <f>'1461'!F22:G22</f>
        <v>3.6970000000000001</v>
      </c>
      <c r="G22" s="678"/>
      <c r="H22" s="80">
        <f t="shared" si="1"/>
        <v>0</v>
      </c>
      <c r="I22" s="101">
        <f t="shared" si="2"/>
        <v>0</v>
      </c>
      <c r="N22" s="616" t="s">
        <v>81</v>
      </c>
      <c r="O22" s="616"/>
      <c r="P22" s="657">
        <f t="shared" si="0"/>
        <v>0</v>
      </c>
      <c r="Q22" s="657"/>
      <c r="R22" s="662">
        <v>1</v>
      </c>
      <c r="S22" s="662"/>
      <c r="T22" s="95">
        <f t="shared" si="3"/>
        <v>0</v>
      </c>
      <c r="U22" s="472">
        <f t="shared" si="4"/>
        <v>0</v>
      </c>
    </row>
    <row r="23" spans="1:21" x14ac:dyDescent="0.25">
      <c r="A23" s="593" t="s">
        <v>82</v>
      </c>
      <c r="B23" s="593"/>
      <c r="C23" s="143">
        <v>2</v>
      </c>
      <c r="D23" s="143">
        <v>3</v>
      </c>
      <c r="E23" s="116">
        <f t="shared" si="5"/>
        <v>5</v>
      </c>
      <c r="F23" s="678">
        <f>'1461'!F23:G23</f>
        <v>5.992</v>
      </c>
      <c r="G23" s="678"/>
      <c r="H23" s="80">
        <f t="shared" si="1"/>
        <v>29.96</v>
      </c>
      <c r="I23" s="101">
        <f t="shared" si="2"/>
        <v>166232.57999999999</v>
      </c>
      <c r="N23" s="616" t="s">
        <v>82</v>
      </c>
      <c r="O23" s="616"/>
      <c r="P23" s="657">
        <f t="shared" si="0"/>
        <v>5</v>
      </c>
      <c r="Q23" s="657"/>
      <c r="R23" s="662">
        <v>1</v>
      </c>
      <c r="S23" s="662"/>
      <c r="T23" s="95">
        <f t="shared" si="3"/>
        <v>5</v>
      </c>
      <c r="U23" s="472">
        <f t="shared" si="4"/>
        <v>27742.42</v>
      </c>
    </row>
    <row r="24" spans="1:21" x14ac:dyDescent="0.25">
      <c r="A24" s="593" t="s">
        <v>83</v>
      </c>
      <c r="B24" s="593"/>
      <c r="C24" s="143">
        <v>6</v>
      </c>
      <c r="D24" s="143">
        <v>5.5</v>
      </c>
      <c r="E24" s="116">
        <f t="shared" si="5"/>
        <v>11.5</v>
      </c>
      <c r="F24" s="678">
        <f>'1461'!F24:G24</f>
        <v>5.992</v>
      </c>
      <c r="G24" s="678"/>
      <c r="H24" s="80">
        <f t="shared" si="1"/>
        <v>68.908000000000001</v>
      </c>
      <c r="I24" s="101">
        <f t="shared" si="2"/>
        <v>382334.93</v>
      </c>
      <c r="N24" s="616" t="s">
        <v>83</v>
      </c>
      <c r="O24" s="616"/>
      <c r="P24" s="657">
        <f t="shared" si="0"/>
        <v>11.5</v>
      </c>
      <c r="Q24" s="657"/>
      <c r="R24" s="662">
        <v>1</v>
      </c>
      <c r="S24" s="662"/>
      <c r="T24" s="95">
        <f t="shared" si="3"/>
        <v>11.5</v>
      </c>
      <c r="U24" s="472">
        <f t="shared" si="4"/>
        <v>63807.57</v>
      </c>
    </row>
    <row r="25" spans="1:21" x14ac:dyDescent="0.25">
      <c r="A25" s="593" t="s">
        <v>84</v>
      </c>
      <c r="B25" s="593"/>
      <c r="C25" s="143">
        <v>0</v>
      </c>
      <c r="D25" s="143">
        <v>0</v>
      </c>
      <c r="E25" s="116">
        <f t="shared" si="5"/>
        <v>0</v>
      </c>
      <c r="F25" s="678">
        <f>'1461'!F25:G25</f>
        <v>5.992</v>
      </c>
      <c r="G25" s="678"/>
      <c r="H25" s="80">
        <f t="shared" si="1"/>
        <v>0</v>
      </c>
      <c r="I25" s="101">
        <f t="shared" si="2"/>
        <v>0</v>
      </c>
      <c r="N25" s="616" t="s">
        <v>84</v>
      </c>
      <c r="O25" s="616"/>
      <c r="P25" s="657">
        <f t="shared" si="0"/>
        <v>0</v>
      </c>
      <c r="Q25" s="657"/>
      <c r="R25" s="662">
        <v>1</v>
      </c>
      <c r="S25" s="662"/>
      <c r="T25" s="95">
        <f t="shared" si="3"/>
        <v>0</v>
      </c>
      <c r="U25" s="472">
        <f t="shared" si="4"/>
        <v>0</v>
      </c>
    </row>
    <row r="26" spans="1:21" x14ac:dyDescent="0.25">
      <c r="A26" s="593" t="s">
        <v>85</v>
      </c>
      <c r="B26" s="593"/>
      <c r="C26" s="143">
        <v>0</v>
      </c>
      <c r="D26" s="143">
        <v>0</v>
      </c>
      <c r="E26" s="116">
        <f t="shared" si="5"/>
        <v>0</v>
      </c>
      <c r="F26" s="678">
        <f>'1461'!F26:G26</f>
        <v>1.1919999999999999</v>
      </c>
      <c r="G26" s="678"/>
      <c r="H26" s="80">
        <f t="shared" si="1"/>
        <v>0</v>
      </c>
      <c r="I26" s="101">
        <f t="shared" si="2"/>
        <v>0</v>
      </c>
      <c r="N26" s="616" t="s">
        <v>85</v>
      </c>
      <c r="O26" s="616"/>
      <c r="P26" s="657">
        <f t="shared" si="0"/>
        <v>0</v>
      </c>
      <c r="Q26" s="657"/>
      <c r="R26" s="662">
        <v>1</v>
      </c>
      <c r="S26" s="662"/>
      <c r="T26" s="95">
        <f t="shared" si="3"/>
        <v>0</v>
      </c>
      <c r="U26" s="472">
        <f t="shared" si="4"/>
        <v>0</v>
      </c>
    </row>
    <row r="27" spans="1:21" x14ac:dyDescent="0.25">
      <c r="A27" s="593" t="s">
        <v>86</v>
      </c>
      <c r="B27" s="593"/>
      <c r="C27" s="143">
        <v>0</v>
      </c>
      <c r="D27" s="143">
        <v>0</v>
      </c>
      <c r="E27" s="116">
        <f t="shared" si="5"/>
        <v>0</v>
      </c>
      <c r="F27" s="678">
        <f>'1461'!F27:G27</f>
        <v>1.1919999999999999</v>
      </c>
      <c r="G27" s="678"/>
      <c r="H27" s="80">
        <f t="shared" si="1"/>
        <v>0</v>
      </c>
      <c r="I27" s="101">
        <f t="shared" si="2"/>
        <v>0</v>
      </c>
      <c r="N27" s="616" t="s">
        <v>86</v>
      </c>
      <c r="O27" s="616"/>
      <c r="P27" s="657">
        <f t="shared" si="0"/>
        <v>0</v>
      </c>
      <c r="Q27" s="657"/>
      <c r="R27" s="662">
        <v>1</v>
      </c>
      <c r="S27" s="662"/>
      <c r="T27" s="95">
        <f t="shared" si="3"/>
        <v>0</v>
      </c>
      <c r="U27" s="472">
        <f t="shared" si="4"/>
        <v>0</v>
      </c>
    </row>
    <row r="28" spans="1:21" x14ac:dyDescent="0.25">
      <c r="A28" s="593" t="s">
        <v>87</v>
      </c>
      <c r="B28" s="593"/>
      <c r="C28" s="143">
        <v>0</v>
      </c>
      <c r="D28" s="143">
        <v>0</v>
      </c>
      <c r="E28" s="116">
        <f t="shared" si="5"/>
        <v>0</v>
      </c>
      <c r="F28" s="678">
        <f>'1461'!F28:G28</f>
        <v>1.1919999999999999</v>
      </c>
      <c r="G28" s="678"/>
      <c r="H28" s="80">
        <f t="shared" si="1"/>
        <v>0</v>
      </c>
      <c r="I28" s="101">
        <f t="shared" si="2"/>
        <v>0</v>
      </c>
      <c r="N28" s="616" t="s">
        <v>87</v>
      </c>
      <c r="O28" s="616"/>
      <c r="P28" s="657">
        <f t="shared" si="0"/>
        <v>0</v>
      </c>
      <c r="Q28" s="657"/>
      <c r="R28" s="662">
        <v>1</v>
      </c>
      <c r="S28" s="662"/>
      <c r="T28" s="95">
        <f t="shared" si="3"/>
        <v>0</v>
      </c>
      <c r="U28" s="472">
        <f t="shared" si="4"/>
        <v>0</v>
      </c>
    </row>
    <row r="29" spans="1:21" x14ac:dyDescent="0.25">
      <c r="A29" s="593" t="s">
        <v>88</v>
      </c>
      <c r="B29" s="593"/>
      <c r="C29" s="110">
        <v>0</v>
      </c>
      <c r="D29" s="110">
        <v>0</v>
      </c>
      <c r="E29" s="154">
        <f t="shared" si="5"/>
        <v>0</v>
      </c>
      <c r="F29" s="678">
        <f>'1461'!F29:G29</f>
        <v>1.079</v>
      </c>
      <c r="G29" s="678"/>
      <c r="H29" s="93">
        <f t="shared" si="1"/>
        <v>0</v>
      </c>
      <c r="I29" s="94">
        <f t="shared" si="2"/>
        <v>0</v>
      </c>
      <c r="N29" s="631" t="s">
        <v>88</v>
      </c>
      <c r="O29" s="631"/>
      <c r="P29" s="657">
        <f t="shared" si="0"/>
        <v>0</v>
      </c>
      <c r="Q29" s="657"/>
      <c r="R29" s="658">
        <v>1</v>
      </c>
      <c r="S29" s="658"/>
      <c r="T29" s="95">
        <f t="shared" si="3"/>
        <v>0</v>
      </c>
      <c r="U29" s="472">
        <f t="shared" si="4"/>
        <v>0</v>
      </c>
    </row>
    <row r="30" spans="1:21" x14ac:dyDescent="0.25">
      <c r="A30" s="605" t="s">
        <v>5</v>
      </c>
      <c r="B30" s="605"/>
      <c r="C30" s="94">
        <f>SUM(C14:C29)</f>
        <v>12.5</v>
      </c>
      <c r="D30" s="94">
        <f>SUM(D14:D29)</f>
        <v>11.5</v>
      </c>
      <c r="E30" s="94">
        <f>SUM(E14:E29)</f>
        <v>24</v>
      </c>
      <c r="F30" s="597"/>
      <c r="G30" s="597"/>
      <c r="H30" s="99">
        <f>SUM(H14:H29)</f>
        <v>124.01650000000001</v>
      </c>
      <c r="I30" s="94">
        <f>SUM(I14:I29)</f>
        <v>688103.57000000007</v>
      </c>
      <c r="N30" s="659" t="s">
        <v>5</v>
      </c>
      <c r="O30" s="659"/>
      <c r="P30" s="660">
        <f>SUM(P14:P29)</f>
        <v>24</v>
      </c>
      <c r="Q30" s="660"/>
      <c r="R30" s="632"/>
      <c r="S30" s="632"/>
      <c r="T30" s="100">
        <f>SUM(T14:T29)</f>
        <v>24</v>
      </c>
      <c r="U30" s="472">
        <f>SUM(U14:U29)</f>
        <v>133163.60999999999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124.01650000000001</v>
      </c>
      <c r="F46" s="34"/>
      <c r="G46" s="106"/>
      <c r="H46" s="107" t="s">
        <v>98</v>
      </c>
      <c r="I46" s="94">
        <f>SUM(I44,I30)</f>
        <v>688103.57000000007</v>
      </c>
      <c r="N46" s="618" t="s">
        <v>44</v>
      </c>
      <c r="O46" s="618"/>
      <c r="P46" s="618"/>
      <c r="Q46" s="618"/>
      <c r="R46" s="35">
        <f>R44+T30</f>
        <v>24</v>
      </c>
      <c r="S46" s="632" t="s">
        <v>42</v>
      </c>
      <c r="T46" s="632"/>
      <c r="U46" s="108">
        <f>SUM(U44,U30)</f>
        <v>133163.60999999999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688103.57000000007</v>
      </c>
      <c r="G51" s="109" t="s">
        <v>6</v>
      </c>
      <c r="H51" s="400">
        <v>5.5899999999999998E-2</v>
      </c>
      <c r="I51" s="101">
        <f>ROUND(F51*H51,2)</f>
        <v>38464.99</v>
      </c>
      <c r="N51" s="405"/>
      <c r="O51" s="406" t="s">
        <v>513</v>
      </c>
      <c r="P51" s="28"/>
      <c r="Q51" s="44" t="s">
        <v>399</v>
      </c>
      <c r="R51" s="407">
        <f>U30</f>
        <v>133163.60999999999</v>
      </c>
      <c r="S51" s="408" t="s">
        <v>6</v>
      </c>
      <c r="T51" s="409">
        <v>5.5899999999999998E-2</v>
      </c>
      <c r="U51" s="401">
        <f>ROUND(R51*T51,2)</f>
        <v>7443.85</v>
      </c>
    </row>
    <row r="52" spans="1:22" x14ac:dyDescent="0.25">
      <c r="A52" s="26"/>
      <c r="B52" s="558" t="s">
        <v>522</v>
      </c>
      <c r="C52" s="26"/>
      <c r="D52" s="26"/>
      <c r="E52" s="43" t="s">
        <v>399</v>
      </c>
      <c r="F52" s="399">
        <v>688103.57000000007</v>
      </c>
      <c r="G52" s="109" t="s">
        <v>6</v>
      </c>
      <c r="H52" s="400">
        <v>1.0699999999999999E-2</v>
      </c>
      <c r="I52" s="101">
        <f>ROUND(F52*H52,2)</f>
        <v>7362.71</v>
      </c>
      <c r="N52" s="28"/>
      <c r="O52" s="559" t="s">
        <v>521</v>
      </c>
      <c r="P52" s="28"/>
      <c r="Q52" s="44" t="s">
        <v>399</v>
      </c>
      <c r="R52" s="407">
        <f>U30</f>
        <v>133163.60999999999</v>
      </c>
      <c r="S52" s="408" t="s">
        <v>6</v>
      </c>
      <c r="T52" s="409">
        <v>1.0699999999999999E-2</v>
      </c>
      <c r="U52" s="410">
        <f>ROUND(R52*T52,2)</f>
        <v>1424.85</v>
      </c>
    </row>
    <row r="53" spans="1:22" x14ac:dyDescent="0.25">
      <c r="A53" s="26"/>
      <c r="B53" s="81" t="s">
        <v>400</v>
      </c>
      <c r="C53" s="26"/>
      <c r="D53" s="26"/>
      <c r="E53" s="43"/>
      <c r="F53" s="399"/>
      <c r="G53" s="109"/>
      <c r="H53" s="400"/>
      <c r="I53" s="97">
        <f>SUM(I51:I52)</f>
        <v>45827.7</v>
      </c>
      <c r="N53" s="28"/>
      <c r="O53" s="382" t="s">
        <v>400</v>
      </c>
      <c r="P53" s="28"/>
      <c r="Q53" s="44"/>
      <c r="R53" s="407"/>
      <c r="S53" s="408"/>
      <c r="T53" s="409"/>
      <c r="U53" s="401">
        <f>SUM(U51:U52)</f>
        <v>8868.7000000000007</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IF(D$72=0,C57*2,C57+D57)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c r="D58" s="143">
        <v>0</v>
      </c>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1</v>
      </c>
      <c r="D59" s="143">
        <v>0</v>
      </c>
      <c r="E59" s="116">
        <v>1</v>
      </c>
      <c r="F59" s="442" t="s">
        <v>437</v>
      </c>
      <c r="G59" s="442">
        <v>253</v>
      </c>
      <c r="H59" s="456">
        <f>'1461'!H59</f>
        <v>6896</v>
      </c>
      <c r="I59" s="101">
        <f t="shared" si="11"/>
        <v>6896</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1</v>
      </c>
      <c r="D66" s="97">
        <f>SUM(D57:D65)</f>
        <v>0</v>
      </c>
      <c r="E66" s="97">
        <f>SUM(E57:E65)</f>
        <v>1</v>
      </c>
      <c r="F66" s="605" t="s">
        <v>446</v>
      </c>
      <c r="G66" s="605"/>
      <c r="H66" s="605"/>
      <c r="I66" s="97">
        <f>SUM(I57:I65)</f>
        <v>6896</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24</v>
      </c>
      <c r="D69" s="580" t="s">
        <v>412</v>
      </c>
      <c r="E69" s="580"/>
      <c r="F69" s="580"/>
      <c r="G69" s="580"/>
      <c r="H69" s="299">
        <f>'1461'!H69</f>
        <v>210228.91</v>
      </c>
      <c r="I69" s="113"/>
      <c r="N69" s="615" t="s">
        <v>405</v>
      </c>
      <c r="O69" s="616"/>
      <c r="P69" s="41">
        <f>P30</f>
        <v>24</v>
      </c>
      <c r="Q69" s="621" t="s">
        <v>407</v>
      </c>
      <c r="R69" s="622"/>
      <c r="S69" s="622"/>
      <c r="T69" s="619">
        <f>H69</f>
        <v>210228.91</v>
      </c>
      <c r="U69" s="619"/>
    </row>
    <row r="70" spans="1:22" x14ac:dyDescent="0.25">
      <c r="B70" s="69"/>
      <c r="G70" s="42" t="s">
        <v>12</v>
      </c>
      <c r="H70" s="114">
        <f>ROUND(C69/H69,6)</f>
        <v>1.1400000000000001E-4</v>
      </c>
      <c r="I70" s="115"/>
      <c r="N70" s="616"/>
      <c r="O70" s="616"/>
      <c r="P70" s="616"/>
      <c r="Q70" s="616"/>
      <c r="R70" s="616"/>
      <c r="S70" s="616"/>
      <c r="T70" s="620">
        <f>ROUND(P69/T69,6)</f>
        <v>1.1400000000000001E-4</v>
      </c>
      <c r="U70" s="620"/>
    </row>
    <row r="71" spans="1:22" x14ac:dyDescent="0.25">
      <c r="A71" s="441" t="s">
        <v>449</v>
      </c>
      <c r="N71" s="452" t="s">
        <v>457</v>
      </c>
      <c r="O71" s="51"/>
      <c r="P71" s="51"/>
      <c r="Q71" s="51"/>
      <c r="R71" s="51"/>
      <c r="S71" s="51"/>
      <c r="T71" s="51"/>
      <c r="U71" s="51"/>
    </row>
    <row r="72" spans="1:22" x14ac:dyDescent="0.25">
      <c r="A72" s="599" t="s">
        <v>402</v>
      </c>
      <c r="B72" s="593"/>
      <c r="C72" s="112">
        <f>H30</f>
        <v>124.01650000000001</v>
      </c>
      <c r="D72" s="580" t="s">
        <v>413</v>
      </c>
      <c r="E72" s="580"/>
      <c r="F72" s="580"/>
      <c r="G72" s="580"/>
      <c r="H72" s="300">
        <f>'1461'!H72</f>
        <v>234891.44</v>
      </c>
      <c r="I72" s="116"/>
      <c r="N72" s="615" t="s">
        <v>406</v>
      </c>
      <c r="O72" s="616"/>
      <c r="P72" s="41">
        <f>T30</f>
        <v>24</v>
      </c>
      <c r="Q72" s="621" t="s">
        <v>408</v>
      </c>
      <c r="R72" s="622"/>
      <c r="S72" s="622"/>
      <c r="T72" s="619">
        <f>H72</f>
        <v>234891.44</v>
      </c>
      <c r="U72" s="619"/>
    </row>
    <row r="73" spans="1:22" x14ac:dyDescent="0.25">
      <c r="G73" s="42" t="s">
        <v>12</v>
      </c>
      <c r="H73" s="114">
        <f>ROUND(C72/H72,6)</f>
        <v>5.2800000000000004E-4</v>
      </c>
      <c r="I73" s="114"/>
      <c r="N73" s="616"/>
      <c r="O73" s="616"/>
      <c r="P73" s="616"/>
      <c r="Q73" s="616"/>
      <c r="R73" s="616"/>
      <c r="S73" s="616"/>
      <c r="T73" s="620">
        <f>ROUND(P72/T72,6)</f>
        <v>1.02E-4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24</v>
      </c>
      <c r="D75" s="572" t="s">
        <v>414</v>
      </c>
      <c r="E75" s="572"/>
      <c r="F75" s="572"/>
      <c r="G75" s="572"/>
      <c r="H75" s="299">
        <f>'1461'!H75</f>
        <v>187665.41</v>
      </c>
      <c r="I75" s="113"/>
      <c r="N75" s="615" t="s">
        <v>404</v>
      </c>
      <c r="O75" s="616"/>
      <c r="P75" s="41">
        <f>P30</f>
        <v>24</v>
      </c>
      <c r="Q75" s="651" t="s">
        <v>409</v>
      </c>
      <c r="R75" s="652"/>
      <c r="S75" s="652"/>
      <c r="T75" s="619">
        <f>H75</f>
        <v>187665.41</v>
      </c>
      <c r="U75" s="619"/>
    </row>
    <row r="76" spans="1:22" x14ac:dyDescent="0.25">
      <c r="B76" s="69"/>
      <c r="G76" s="42" t="s">
        <v>12</v>
      </c>
      <c r="H76" s="114">
        <f>ROUND(C75/H75,6)</f>
        <v>1.2799999999999999E-4</v>
      </c>
      <c r="I76" s="115"/>
      <c r="N76" s="616"/>
      <c r="O76" s="616"/>
      <c r="P76" s="616"/>
      <c r="Q76" s="616"/>
      <c r="R76" s="616"/>
      <c r="S76" s="616"/>
      <c r="T76" s="620">
        <f>ROUND(P75/T75,6)</f>
        <v>1.2799999999999999E-4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24</v>
      </c>
      <c r="D78" s="600" t="s">
        <v>415</v>
      </c>
      <c r="E78" s="600"/>
      <c r="F78" s="600"/>
      <c r="G78" s="600"/>
      <c r="H78" s="299">
        <f>'1461'!H78</f>
        <v>209892.26</v>
      </c>
      <c r="I78" s="113"/>
      <c r="N78" s="615" t="s">
        <v>404</v>
      </c>
      <c r="O78" s="616"/>
      <c r="P78" s="41">
        <f>P30</f>
        <v>24</v>
      </c>
      <c r="Q78" s="649" t="s">
        <v>410</v>
      </c>
      <c r="R78" s="650"/>
      <c r="S78" s="650"/>
      <c r="T78" s="619">
        <f>H78</f>
        <v>209892.26</v>
      </c>
      <c r="U78" s="619"/>
    </row>
    <row r="79" spans="1:22" x14ac:dyDescent="0.25">
      <c r="B79" s="69"/>
      <c r="G79" s="42" t="s">
        <v>12</v>
      </c>
      <c r="H79" s="114">
        <f>ROUND(C78/H78,6)</f>
        <v>1.1400000000000001E-4</v>
      </c>
      <c r="I79" s="115"/>
      <c r="N79" s="616"/>
      <c r="O79" s="616"/>
      <c r="P79" s="616"/>
      <c r="Q79" s="616"/>
      <c r="R79" s="616"/>
      <c r="S79" s="616"/>
      <c r="T79" s="620">
        <f>ROUND(P78/T78,6)</f>
        <v>1.1400000000000001E-4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24</v>
      </c>
      <c r="D81" s="572" t="s">
        <v>416</v>
      </c>
      <c r="E81" s="572"/>
      <c r="F81" s="572"/>
      <c r="G81" s="572"/>
      <c r="H81" s="299">
        <f>'1461'!H81</f>
        <v>187328.76</v>
      </c>
      <c r="I81" s="113"/>
      <c r="N81" s="615" t="s">
        <v>417</v>
      </c>
      <c r="O81" s="616"/>
      <c r="P81" s="41">
        <f>P30</f>
        <v>24</v>
      </c>
      <c r="Q81" s="651" t="s">
        <v>418</v>
      </c>
      <c r="R81" s="652"/>
      <c r="S81" s="652"/>
      <c r="T81" s="619">
        <f>H81</f>
        <v>187328.76</v>
      </c>
      <c r="U81" s="619"/>
    </row>
    <row r="82" spans="1:21" x14ac:dyDescent="0.25">
      <c r="B82" s="69"/>
      <c r="G82" s="42" t="s">
        <v>12</v>
      </c>
      <c r="H82" s="114">
        <f>ROUND(C81/H81,6)</f>
        <v>1.2799999999999999E-4</v>
      </c>
      <c r="I82" s="115"/>
      <c r="N82" s="616"/>
      <c r="O82" s="616"/>
      <c r="P82" s="616"/>
      <c r="Q82" s="616"/>
      <c r="R82" s="616"/>
      <c r="S82" s="616"/>
      <c r="T82" s="620">
        <f>ROUND(P81/T81,6)</f>
        <v>1.2799999999999999E-4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1.1400000000000001E-4</v>
      </c>
      <c r="I85" s="101">
        <f>ROUND(F85*H85,2)</f>
        <v>5262.66</v>
      </c>
      <c r="N85" s="452" t="s">
        <v>453</v>
      </c>
      <c r="O85" s="51"/>
      <c r="P85" s="51"/>
      <c r="Q85" s="44"/>
      <c r="R85" s="418">
        <f>F85</f>
        <v>46163704</v>
      </c>
      <c r="S85" s="38" t="s">
        <v>6</v>
      </c>
      <c r="T85" s="420">
        <f>T79</f>
        <v>1.1400000000000001E-4</v>
      </c>
      <c r="U85" s="472">
        <f>ROUND(R85*T85,2)</f>
        <v>5262.66</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1.1400000000000001E-4</v>
      </c>
      <c r="I88" s="101">
        <f>ROUND(F88*H88,2)</f>
        <v>0</v>
      </c>
      <c r="N88" s="653" t="s">
        <v>99</v>
      </c>
      <c r="O88" s="616"/>
      <c r="P88" s="616"/>
      <c r="Q88" s="44"/>
      <c r="R88" s="418">
        <f>F88</f>
        <v>0</v>
      </c>
      <c r="S88" s="38" t="s">
        <v>6</v>
      </c>
      <c r="T88" s="420">
        <f>T70</f>
        <v>1.1400000000000001E-4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1.2799999999999999E-4</v>
      </c>
      <c r="I90" s="101">
        <f>ROUND(F90*H90,2)</f>
        <v>2437.38</v>
      </c>
      <c r="N90" s="452" t="s">
        <v>454</v>
      </c>
      <c r="O90" s="51"/>
      <c r="P90" s="51"/>
      <c r="Q90" s="44"/>
      <c r="R90" s="418">
        <f>F90</f>
        <v>19042026</v>
      </c>
      <c r="S90" s="38" t="s">
        <v>6</v>
      </c>
      <c r="T90" s="420">
        <f>T82</f>
        <v>1.2799999999999999E-4</v>
      </c>
      <c r="U90" s="472">
        <f>ROUND(R90*T90,2)</f>
        <v>2437.38</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1.2799999999999999E-4</v>
      </c>
      <c r="I92" s="101">
        <f t="shared" ref="I92:I96" si="14">ROUND(F92*H92,2)</f>
        <v>1464.47</v>
      </c>
      <c r="N92" s="452" t="s">
        <v>455</v>
      </c>
      <c r="O92" s="51"/>
      <c r="P92" s="51"/>
      <c r="Q92" s="44"/>
      <c r="R92" s="418">
        <f t="shared" ref="R92:R96" si="15">F92</f>
        <v>11441151</v>
      </c>
      <c r="S92" s="38" t="s">
        <v>6</v>
      </c>
      <c r="T92" s="420">
        <f>T76</f>
        <v>1.2799999999999999E-4</v>
      </c>
      <c r="U92" s="472">
        <f>ROUND(R92*T92,2)</f>
        <v>1464.47</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5.2800000000000004E-4</v>
      </c>
      <c r="I94" s="101">
        <f t="shared" si="14"/>
        <v>135039.6</v>
      </c>
      <c r="N94" s="616" t="s">
        <v>420</v>
      </c>
      <c r="O94" s="616"/>
      <c r="P94" s="616"/>
      <c r="Q94" s="44"/>
      <c r="R94" s="418">
        <f t="shared" si="15"/>
        <v>255756816</v>
      </c>
      <c r="S94" s="38" t="s">
        <v>6</v>
      </c>
      <c r="T94" s="420">
        <f>T73</f>
        <v>1.02E-4</v>
      </c>
      <c r="U94" s="472">
        <f>ROUND(R94*T94,2)</f>
        <v>26087.200000000001</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5.2800000000000004E-4</v>
      </c>
      <c r="I96" s="101">
        <f t="shared" si="14"/>
        <v>-837.18</v>
      </c>
      <c r="N96" s="615" t="s">
        <v>421</v>
      </c>
      <c r="O96" s="616"/>
      <c r="P96" s="616"/>
      <c r="Q96" s="44"/>
      <c r="R96" s="418">
        <f t="shared" si="15"/>
        <v>-1585559</v>
      </c>
      <c r="S96" s="38" t="s">
        <v>6</v>
      </c>
      <c r="T96" s="420">
        <f>T73</f>
        <v>1.02E-4</v>
      </c>
      <c r="U96" s="472">
        <f>ROUND(R96*T96,2)</f>
        <v>-161.72999999999999</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1.1400000000000001E-4</v>
      </c>
      <c r="I98" s="101">
        <f t="shared" ref="I98" si="16">ROUND(F98*H98,2)</f>
        <v>0</v>
      </c>
      <c r="N98" s="532" t="s">
        <v>495</v>
      </c>
      <c r="O98" s="532"/>
      <c r="P98" s="532"/>
      <c r="Q98" s="44"/>
      <c r="R98" s="535">
        <f>F98</f>
        <v>0</v>
      </c>
      <c r="S98" s="533" t="s">
        <v>6</v>
      </c>
      <c r="T98" s="420">
        <f>T70</f>
        <v>1.1400000000000001E-4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42.168999999999997</v>
      </c>
      <c r="D104" s="611"/>
      <c r="E104" s="46">
        <f>H8</f>
        <v>1.0407999999999999</v>
      </c>
      <c r="F104" s="302">
        <f>'1461'!F104</f>
        <v>950.92</v>
      </c>
      <c r="G104" s="39" t="s">
        <v>12</v>
      </c>
      <c r="H104" s="101">
        <f>ROUND(C104*E104*F104,2)</f>
        <v>41735.4</v>
      </c>
      <c r="I104" s="104"/>
      <c r="N104" s="28" t="s">
        <v>17</v>
      </c>
      <c r="O104" s="47">
        <f>T14+T15+T20+T23+T26</f>
        <v>9</v>
      </c>
      <c r="P104" s="626">
        <f>T8</f>
        <v>1.0407999999999999</v>
      </c>
      <c r="Q104" s="626"/>
      <c r="R104" s="48">
        <f>F104</f>
        <v>950.92</v>
      </c>
      <c r="S104" s="40" t="s">
        <v>12</v>
      </c>
      <c r="T104" s="478">
        <f>ROUND(O104*P104*R104,2)</f>
        <v>8907.4599999999991</v>
      </c>
      <c r="U104" s="102"/>
    </row>
    <row r="105" spans="1:21" x14ac:dyDescent="0.25">
      <c r="A105" s="49"/>
      <c r="B105" s="49" t="s">
        <v>104</v>
      </c>
      <c r="C105" s="611">
        <f>H16+H17+H21+H24+H27</f>
        <v>81.847499999999997</v>
      </c>
      <c r="D105" s="611"/>
      <c r="E105" s="46">
        <f>H8</f>
        <v>1.0407999999999999</v>
      </c>
      <c r="F105" s="302">
        <f>'1461'!F105</f>
        <v>907.92</v>
      </c>
      <c r="G105" s="39" t="s">
        <v>12</v>
      </c>
      <c r="H105" s="101">
        <f>ROUND(C105*E105*F105,2)</f>
        <v>77342.87</v>
      </c>
      <c r="N105" s="50" t="s">
        <v>13</v>
      </c>
      <c r="O105" s="47">
        <f>T16+T17+T21+T24+T27</f>
        <v>15</v>
      </c>
      <c r="P105" s="626">
        <f>T8</f>
        <v>1.0407999999999999</v>
      </c>
      <c r="Q105" s="626"/>
      <c r="R105" s="48">
        <f>F105</f>
        <v>907.92</v>
      </c>
      <c r="S105" s="40" t="s">
        <v>12</v>
      </c>
      <c r="T105" s="478">
        <f>ROUND(O105*P105*R105,2)</f>
        <v>14174.45</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124.01649999999999</v>
      </c>
      <c r="D107" s="601"/>
      <c r="E107" s="123"/>
      <c r="F107" s="123"/>
      <c r="G107" s="123"/>
      <c r="H107" s="124" t="s">
        <v>100</v>
      </c>
      <c r="I107" s="101">
        <f>IF(A1=75,0,H106+H105+H104)</f>
        <v>119078.26999999999</v>
      </c>
      <c r="N107" s="56" t="s">
        <v>89</v>
      </c>
      <c r="O107" s="57">
        <f>SUM(O104:O106)</f>
        <v>24</v>
      </c>
      <c r="P107" s="627" t="s">
        <v>16</v>
      </c>
      <c r="Q107" s="628"/>
      <c r="R107" s="628"/>
      <c r="S107" s="628"/>
      <c r="T107" s="628"/>
      <c r="U107" s="472">
        <f>IF(N1=75,0,T106+T105+T104)</f>
        <v>23081.91</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8</v>
      </c>
      <c r="D113" s="143">
        <v>8</v>
      </c>
      <c r="E113" s="116">
        <f>(C113+D113)/2</f>
        <v>8</v>
      </c>
      <c r="F113" s="126" t="s">
        <v>30</v>
      </c>
      <c r="G113" s="303">
        <f>'1461'!G113</f>
        <v>567</v>
      </c>
      <c r="I113" s="101">
        <f>ROUND(G113*E113,2)</f>
        <v>4536</v>
      </c>
      <c r="N113" s="645" t="s">
        <v>52</v>
      </c>
      <c r="O113" s="645"/>
      <c r="P113" s="625">
        <f>IF(H133=1,E113,0)</f>
        <v>8</v>
      </c>
      <c r="Q113" s="625"/>
      <c r="R113" s="625"/>
      <c r="S113" s="83" t="s">
        <v>30</v>
      </c>
      <c r="T113" s="58">
        <f>G113</f>
        <v>567</v>
      </c>
      <c r="U113" s="472">
        <f>ROUND(T113*P113,2)</f>
        <v>4536</v>
      </c>
    </row>
    <row r="114" spans="1:21" x14ac:dyDescent="0.25">
      <c r="A114" s="572" t="s">
        <v>382</v>
      </c>
      <c r="B114" s="573"/>
      <c r="C114" s="143">
        <v>0</v>
      </c>
      <c r="D114" s="143">
        <v>0</v>
      </c>
      <c r="E114" s="116">
        <f>(C114+D114)/2</f>
        <v>0</v>
      </c>
      <c r="F114" s="126" t="s">
        <v>30</v>
      </c>
      <c r="G114" s="303">
        <f>'1461'!G114</f>
        <v>1821</v>
      </c>
      <c r="I114" s="101">
        <f>ROUND(G114*E114,2)</f>
        <v>0</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961980.77</v>
      </c>
      <c r="N128" s="452"/>
      <c r="O128" s="451"/>
      <c r="P128" s="451"/>
      <c r="Q128" s="305"/>
      <c r="R128" s="305"/>
      <c r="S128" s="305"/>
      <c r="T128" s="305"/>
      <c r="U128" s="479">
        <f>SUM(U30,U85,U88,U90,U92,U94,U96,U107,U113,U114,U124,U126)</f>
        <v>195871.5</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916153.07000000007</v>
      </c>
      <c r="N130" s="615" t="s">
        <v>432</v>
      </c>
      <c r="O130" s="616"/>
      <c r="P130" s="616"/>
      <c r="Q130" s="616"/>
      <c r="R130" s="616"/>
      <c r="S130" s="616"/>
      <c r="T130" s="616"/>
      <c r="U130" s="132">
        <f>U128-U53</f>
        <v>187002.8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502</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187002.8</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187002.8</v>
      </c>
      <c r="I135" s="94">
        <f>ROUND(IF(E30=0,0,IF(E30&gt;250,-(((250/E30)*H135)*IF(G135="H",0.02,0.05)),IF(G135="H",-0.02*H135,-0.05*H135))),2)</f>
        <v>-9350.14</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952630.63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Payments'!Q71</f>
        <v>-158495.28999999998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794135.34000000008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79413.53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4" t="str">
        <f>'1461'!A152</f>
        <v>(a) Additional FTE includes FTE earned through Advanced Placement, International Baccalaureate, Advanced International Certificate of Education, Industry Certified Career</v>
      </c>
      <c r="B152" s="345"/>
      <c r="C152" s="345"/>
      <c r="D152" s="345"/>
      <c r="E152" s="345"/>
      <c r="F152" s="345"/>
      <c r="G152" s="345"/>
      <c r="H152" s="345"/>
      <c r="I152" s="345"/>
      <c r="J152" s="77"/>
      <c r="K152" s="76"/>
      <c r="L152" s="76"/>
      <c r="M152" s="76"/>
      <c r="N152" s="73"/>
      <c r="O152" s="73"/>
      <c r="P152" s="73"/>
      <c r="Q152" s="73"/>
      <c r="R152" s="73"/>
      <c r="S152" s="73"/>
      <c r="T152" s="73"/>
      <c r="U152" s="73"/>
    </row>
    <row r="153" spans="1:21" ht="15.75" customHeight="1" x14ac:dyDescent="0.25">
      <c r="A153" s="350" t="s">
        <v>372</v>
      </c>
      <c r="B153" s="345"/>
      <c r="C153" s="345"/>
      <c r="D153" s="345"/>
      <c r="E153" s="345"/>
      <c r="F153" s="345"/>
      <c r="G153" s="345"/>
      <c r="H153" s="345"/>
      <c r="I153" s="345"/>
      <c r="J153" s="77"/>
      <c r="K153" s="76"/>
      <c r="L153" s="76"/>
      <c r="M153" s="76"/>
      <c r="N153" s="73"/>
      <c r="O153" s="73"/>
      <c r="P153" s="73"/>
      <c r="Q153" s="73"/>
      <c r="R153" s="73"/>
      <c r="S153" s="73"/>
      <c r="T153" s="73"/>
      <c r="U153" s="73"/>
    </row>
    <row r="154" spans="1:21" x14ac:dyDescent="0.25">
      <c r="A154" s="344" t="s">
        <v>373</v>
      </c>
      <c r="B154" s="346"/>
      <c r="C154" s="346"/>
      <c r="D154" s="346"/>
      <c r="E154" s="346"/>
      <c r="F154" s="346"/>
      <c r="G154" s="346"/>
      <c r="H154" s="346"/>
      <c r="I154" s="346"/>
      <c r="J154" s="76"/>
      <c r="K154" s="76"/>
      <c r="L154" s="76"/>
      <c r="M154" s="76"/>
      <c r="N154" s="73"/>
      <c r="O154" s="73"/>
      <c r="P154" s="73"/>
      <c r="Q154" s="73"/>
      <c r="R154" s="73"/>
      <c r="S154" s="73"/>
      <c r="T154" s="73"/>
      <c r="U154" s="73"/>
    </row>
    <row r="155" spans="1:21" s="76" customFormat="1" x14ac:dyDescent="0.2">
      <c r="A155" s="344" t="s">
        <v>374</v>
      </c>
      <c r="B155" s="346"/>
      <c r="C155" s="346"/>
      <c r="D155" s="346"/>
      <c r="E155" s="346"/>
      <c r="F155" s="346"/>
      <c r="G155" s="346"/>
      <c r="H155" s="346"/>
      <c r="I155" s="346"/>
      <c r="N155" s="640"/>
      <c r="O155" s="640"/>
      <c r="P155" s="640"/>
      <c r="Q155" s="640"/>
      <c r="R155" s="640"/>
      <c r="S155" s="640"/>
      <c r="T155" s="640"/>
      <c r="U155" s="640"/>
    </row>
    <row r="156" spans="1:21" s="76" customFormat="1" x14ac:dyDescent="0.2">
      <c r="A156" s="344" t="s">
        <v>375</v>
      </c>
      <c r="B156" s="346"/>
      <c r="C156" s="346"/>
      <c r="D156" s="346"/>
      <c r="E156" s="346"/>
      <c r="F156" s="346"/>
      <c r="G156" s="346"/>
      <c r="H156" s="346"/>
      <c r="I156" s="346"/>
      <c r="N156" s="73"/>
      <c r="O156" s="73"/>
      <c r="P156" s="73"/>
      <c r="Q156" s="73"/>
      <c r="R156" s="73"/>
      <c r="S156" s="73"/>
      <c r="T156" s="73"/>
      <c r="U156" s="73"/>
    </row>
    <row r="157" spans="1:21" s="76" customFormat="1" x14ac:dyDescent="0.2">
      <c r="A157" s="344" t="s">
        <v>376</v>
      </c>
      <c r="B157" s="346"/>
      <c r="C157" s="346"/>
      <c r="D157" s="346"/>
      <c r="E157" s="346"/>
      <c r="F157" s="346"/>
      <c r="G157" s="346"/>
      <c r="H157" s="346"/>
      <c r="I157" s="346"/>
      <c r="N157" s="78"/>
      <c r="O157" s="79"/>
      <c r="P157" s="79"/>
      <c r="Q157" s="79"/>
      <c r="R157" s="79"/>
      <c r="S157" s="79"/>
      <c r="T157" s="79"/>
      <c r="U157" s="79"/>
    </row>
    <row r="158" spans="1:21" s="76" customFormat="1" x14ac:dyDescent="0.2">
      <c r="A158" s="344" t="s">
        <v>377</v>
      </c>
      <c r="B158" s="346"/>
      <c r="C158" s="346"/>
      <c r="D158" s="346"/>
      <c r="E158" s="346"/>
      <c r="F158" s="346"/>
      <c r="G158" s="346"/>
      <c r="H158" s="346"/>
      <c r="I158" s="346"/>
      <c r="N158" s="78"/>
    </row>
    <row r="159" spans="1:21" s="76" customFormat="1" x14ac:dyDescent="0.2">
      <c r="A159" s="344" t="s">
        <v>379</v>
      </c>
      <c r="B159" s="346"/>
      <c r="C159" s="346"/>
      <c r="D159" s="346"/>
      <c r="E159" s="346"/>
      <c r="F159" s="346"/>
      <c r="G159" s="346"/>
      <c r="H159" s="346"/>
      <c r="I159" s="346"/>
      <c r="N159" s="78"/>
    </row>
    <row r="160" spans="1:21" s="76" customFormat="1" x14ac:dyDescent="0.2">
      <c r="A160" s="350" t="s">
        <v>378</v>
      </c>
      <c r="B160" s="346"/>
      <c r="C160" s="346"/>
      <c r="D160" s="346"/>
      <c r="E160" s="346"/>
      <c r="F160" s="346"/>
      <c r="G160" s="346"/>
      <c r="H160" s="346"/>
      <c r="I160" s="346"/>
      <c r="N160" s="78"/>
    </row>
    <row r="161" spans="1:14" s="76" customFormat="1" x14ac:dyDescent="0.2">
      <c r="A161" s="344" t="s">
        <v>380</v>
      </c>
      <c r="B161" s="346"/>
      <c r="C161" s="346"/>
      <c r="D161" s="346"/>
      <c r="E161" s="346"/>
      <c r="F161" s="346"/>
      <c r="G161" s="346"/>
      <c r="H161" s="346"/>
      <c r="I161" s="346"/>
      <c r="N161" s="78"/>
    </row>
    <row r="162" spans="1:14" s="76" customFormat="1" x14ac:dyDescent="0.2">
      <c r="A162" s="350" t="str">
        <f>'1461'!A162</f>
        <v>"All Adjusted ESE Riders" should include only ESE Riders.</v>
      </c>
      <c r="B162" s="346"/>
      <c r="C162" s="346"/>
      <c r="D162" s="346"/>
      <c r="E162" s="346"/>
      <c r="F162" s="346"/>
      <c r="G162" s="346"/>
      <c r="H162" s="346"/>
      <c r="I162" s="346"/>
      <c r="N162" s="78"/>
    </row>
    <row r="163" spans="1:14" s="76" customFormat="1" x14ac:dyDescent="0.2">
      <c r="A163" s="344" t="s">
        <v>383</v>
      </c>
      <c r="B163" s="346"/>
      <c r="C163" s="346"/>
      <c r="D163" s="346"/>
      <c r="E163" s="346"/>
      <c r="F163" s="346"/>
      <c r="G163" s="346"/>
      <c r="H163" s="346"/>
      <c r="I163" s="346"/>
      <c r="N163" s="78"/>
    </row>
    <row r="164" spans="1:14" s="76" customFormat="1" ht="15.75" customHeight="1" x14ac:dyDescent="0.2">
      <c r="A164" s="344" t="str">
        <f>'1461'!A164</f>
        <v xml:space="preserve">(j) Funding based on student eligibility and meals provided, if participating in the National School Lunch Program. </v>
      </c>
      <c r="B164" s="346"/>
      <c r="C164" s="346"/>
      <c r="D164" s="346"/>
      <c r="E164" s="346"/>
      <c r="F164" s="346"/>
      <c r="G164" s="346"/>
      <c r="H164" s="346"/>
      <c r="I164" s="346"/>
      <c r="N164" s="78"/>
    </row>
    <row r="165" spans="1:14" s="76" customFormat="1" ht="15.75" customHeight="1" x14ac:dyDescent="0.2">
      <c r="A165" s="344" t="s">
        <v>385</v>
      </c>
      <c r="B165" s="346"/>
      <c r="C165" s="346"/>
      <c r="D165" s="346"/>
      <c r="E165" s="346"/>
      <c r="F165" s="346"/>
      <c r="G165" s="346"/>
      <c r="H165" s="346"/>
      <c r="I165" s="346"/>
      <c r="N165" s="78"/>
    </row>
    <row r="166" spans="1:14" s="76" customFormat="1" ht="15.75" customHeight="1" x14ac:dyDescent="0.2">
      <c r="A166" s="350" t="s">
        <v>384</v>
      </c>
      <c r="B166" s="346"/>
      <c r="C166" s="346"/>
      <c r="D166" s="346"/>
      <c r="E166" s="346"/>
      <c r="F166" s="346"/>
      <c r="G166" s="346"/>
      <c r="H166" s="346"/>
      <c r="I166" s="346"/>
      <c r="N166" s="78"/>
    </row>
    <row r="167" spans="1:14" s="76" customFormat="1" ht="15.75" customHeight="1" x14ac:dyDescent="0.2">
      <c r="A167" s="344" t="s">
        <v>386</v>
      </c>
      <c r="B167" s="346"/>
      <c r="C167" s="346"/>
      <c r="D167" s="346"/>
      <c r="E167" s="346"/>
      <c r="F167" s="346"/>
      <c r="G167" s="346"/>
      <c r="H167" s="346"/>
      <c r="I167" s="346"/>
      <c r="N167" s="78"/>
    </row>
    <row r="168" spans="1:14" s="76" customFormat="1" ht="15.75" customHeight="1" x14ac:dyDescent="0.2">
      <c r="A168" s="350" t="str">
        <f>'1461'!A168</f>
        <v xml:space="preserve">unweighted full-time equivalent students. </v>
      </c>
      <c r="B168" s="346"/>
      <c r="C168" s="346"/>
      <c r="D168" s="346"/>
      <c r="E168" s="346"/>
      <c r="F168" s="346"/>
      <c r="G168" s="346"/>
      <c r="H168" s="346"/>
      <c r="I168" s="346"/>
      <c r="N168" s="78"/>
    </row>
    <row r="169" spans="1:14" s="76" customFormat="1" ht="15.75" customHeight="1" x14ac:dyDescent="0.2">
      <c r="A169" s="344" t="s">
        <v>388</v>
      </c>
      <c r="B169" s="346"/>
      <c r="C169" s="346"/>
      <c r="D169" s="346"/>
      <c r="E169" s="346"/>
      <c r="F169" s="346"/>
      <c r="G169" s="346"/>
      <c r="H169" s="346"/>
      <c r="I169" s="346"/>
      <c r="N169" s="78"/>
    </row>
    <row r="170" spans="1:14" s="76" customFormat="1" ht="15.75" customHeight="1" x14ac:dyDescent="0.2">
      <c r="A170" s="350" t="s">
        <v>387</v>
      </c>
      <c r="B170" s="346"/>
      <c r="C170" s="346"/>
      <c r="D170" s="346"/>
      <c r="E170" s="346"/>
      <c r="F170" s="346"/>
      <c r="G170" s="346"/>
      <c r="H170" s="346"/>
      <c r="I170" s="346"/>
      <c r="N170" s="78"/>
    </row>
    <row r="171" spans="1:14" s="76" customFormat="1" ht="15.75" customHeight="1" x14ac:dyDescent="0.2">
      <c r="A171" s="344"/>
      <c r="B171" s="346"/>
      <c r="C171" s="346"/>
      <c r="D171" s="346"/>
      <c r="E171" s="346"/>
      <c r="F171" s="346"/>
      <c r="G171" s="346"/>
      <c r="H171" s="346"/>
      <c r="I171" s="346"/>
      <c r="N171" s="78"/>
    </row>
    <row r="172" spans="1:14" s="76" customFormat="1" ht="15.75" customHeight="1" x14ac:dyDescent="0.25">
      <c r="A172" s="357" t="str">
        <f>'1461'!A172</f>
        <v>Administrative fees:</v>
      </c>
      <c r="B172" s="346"/>
      <c r="C172" s="346"/>
      <c r="D172" s="346"/>
      <c r="E172" s="346"/>
      <c r="F172" s="346"/>
      <c r="G172" s="346"/>
      <c r="H172" s="346"/>
      <c r="I172" s="346"/>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349"/>
      <c r="C173" s="349"/>
      <c r="D173" s="349"/>
      <c r="E173" s="349"/>
      <c r="F173" s="349"/>
      <c r="G173" s="349"/>
      <c r="H173" s="349"/>
      <c r="I173" s="349"/>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356"/>
      <c r="C174" s="356"/>
      <c r="D174" s="356"/>
      <c r="E174" s="356"/>
      <c r="F174" s="356"/>
      <c r="G174" s="356"/>
      <c r="H174" s="356"/>
      <c r="I174" s="356"/>
      <c r="J174" s="3"/>
      <c r="K174" s="3"/>
      <c r="L174" s="3"/>
      <c r="M174" s="3"/>
      <c r="N174" s="78"/>
    </row>
    <row r="175" spans="1:14" s="76" customFormat="1" ht="15.75" customHeight="1" x14ac:dyDescent="0.25">
      <c r="A175" s="362" t="s">
        <v>389</v>
      </c>
      <c r="B175" s="356"/>
      <c r="C175" s="356"/>
      <c r="D175" s="356"/>
      <c r="E175" s="356"/>
      <c r="F175" s="356"/>
      <c r="G175" s="356"/>
      <c r="H175" s="356"/>
      <c r="I175" s="356"/>
      <c r="J175" s="3"/>
      <c r="K175" s="3"/>
      <c r="L175" s="3"/>
      <c r="M175" s="3"/>
      <c r="N175" s="78"/>
    </row>
    <row r="176" spans="1:14" s="76" customFormat="1" ht="15.75" customHeight="1" x14ac:dyDescent="0.2">
      <c r="A176" s="362" t="s">
        <v>390</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349"/>
      <c r="C178" s="349"/>
      <c r="D178" s="349"/>
      <c r="E178" s="349"/>
      <c r="F178" s="349"/>
      <c r="G178" s="349"/>
      <c r="H178" s="349"/>
      <c r="I178" s="349"/>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9"/>
      <c r="C179" s="349"/>
      <c r="D179" s="349"/>
      <c r="E179" s="349"/>
      <c r="F179" s="349"/>
      <c r="G179" s="349"/>
      <c r="H179" s="349"/>
      <c r="I179" s="349"/>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349"/>
      <c r="C180" s="349"/>
      <c r="D180" s="349"/>
      <c r="E180" s="349"/>
      <c r="F180" s="349"/>
      <c r="G180" s="349"/>
      <c r="H180" s="349"/>
      <c r="I180" s="349"/>
      <c r="N180" s="74"/>
      <c r="O180" s="3"/>
      <c r="P180" s="3"/>
      <c r="Q180" s="3"/>
      <c r="R180" s="3"/>
      <c r="S180" s="3"/>
      <c r="T180" s="3"/>
      <c r="U180" s="3"/>
    </row>
    <row r="181" spans="1:21" x14ac:dyDescent="0.25">
      <c r="A181" s="344"/>
      <c r="B181" s="349"/>
      <c r="C181" s="349"/>
      <c r="D181" s="349"/>
      <c r="E181" s="349"/>
      <c r="F181" s="349"/>
      <c r="G181" s="349"/>
      <c r="H181" s="349"/>
      <c r="I181" s="349"/>
      <c r="N181" s="78"/>
      <c r="O181" s="76"/>
      <c r="P181" s="76"/>
      <c r="Q181" s="76"/>
      <c r="R181" s="76"/>
      <c r="S181" s="76"/>
      <c r="T181" s="76"/>
      <c r="U181" s="76"/>
    </row>
    <row r="182" spans="1:21" x14ac:dyDescent="0.25">
      <c r="A182" s="357" t="str">
        <f>'1461'!A182</f>
        <v>Other:</v>
      </c>
      <c r="B182" s="355"/>
      <c r="C182" s="355"/>
      <c r="D182" s="355"/>
      <c r="E182" s="355"/>
      <c r="F182" s="355"/>
      <c r="G182" s="355"/>
      <c r="H182" s="355"/>
      <c r="I182" s="355"/>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B183" s="349"/>
      <c r="C183" s="349"/>
      <c r="D183" s="349"/>
      <c r="E183" s="349"/>
      <c r="F183" s="349"/>
      <c r="G183" s="349"/>
      <c r="H183" s="349"/>
      <c r="I183" s="349"/>
      <c r="N183" s="78"/>
      <c r="O183" s="76"/>
      <c r="P183" s="76"/>
      <c r="Q183" s="76"/>
      <c r="R183" s="76"/>
      <c r="S183" s="76"/>
      <c r="T183" s="76"/>
      <c r="U183" s="76"/>
    </row>
    <row r="184" spans="1:21" x14ac:dyDescent="0.25">
      <c r="A184" s="362" t="str">
        <f>'1461'!A184</f>
        <v>by the Commissioner of Education.</v>
      </c>
      <c r="B184" s="356"/>
      <c r="C184" s="356"/>
      <c r="D184" s="356"/>
      <c r="E184" s="356"/>
      <c r="F184" s="356"/>
      <c r="G184" s="356"/>
      <c r="H184" s="356"/>
      <c r="I184" s="356"/>
      <c r="N184" s="74"/>
    </row>
    <row r="185" spans="1:21" x14ac:dyDescent="0.25">
      <c r="A185" s="361" t="str">
        <f>'1461'!A185</f>
        <v>Revenues flow to districts from state sources and from county tax collectors on various distribution schedules.</v>
      </c>
      <c r="B185" s="349"/>
      <c r="C185" s="349"/>
      <c r="D185" s="349"/>
      <c r="E185" s="349"/>
      <c r="F185" s="349"/>
      <c r="G185" s="349"/>
      <c r="H185" s="349"/>
      <c r="I185" s="34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T78:U78"/>
    <mergeCell ref="A96:C96"/>
    <mergeCell ref="N96:P96"/>
    <mergeCell ref="C102:D102"/>
    <mergeCell ref="C103:D103"/>
    <mergeCell ref="N103:O103"/>
    <mergeCell ref="P103:Q103"/>
    <mergeCell ref="N88:P88"/>
    <mergeCell ref="R103:U103"/>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81" t="s">
        <v>15</v>
      </c>
      <c r="C1" s="582"/>
      <c r="D1" s="582"/>
      <c r="E1" s="582"/>
      <c r="F1" s="582"/>
      <c r="G1" s="582"/>
      <c r="H1" s="582"/>
      <c r="I1" s="582"/>
      <c r="J1" s="135"/>
      <c r="K1" s="135"/>
      <c r="L1" s="135"/>
      <c r="N1" s="82">
        <f>A1</f>
        <v>0</v>
      </c>
      <c r="O1" s="673" t="s">
        <v>15</v>
      </c>
      <c r="P1" s="674"/>
      <c r="Q1" s="674"/>
      <c r="R1" s="674"/>
      <c r="S1" s="674"/>
      <c r="T1" s="674"/>
      <c r="U1" s="674"/>
    </row>
    <row r="2" spans="1:21" ht="21" x14ac:dyDescent="0.35">
      <c r="A2" s="1" t="s">
        <v>257</v>
      </c>
      <c r="B2" s="2"/>
      <c r="C2" s="2"/>
      <c r="D2" s="2"/>
      <c r="E2" s="2"/>
      <c r="F2" s="2"/>
      <c r="G2" s="2"/>
      <c r="H2" s="2"/>
      <c r="I2" s="2"/>
      <c r="N2" s="675" t="s">
        <v>18</v>
      </c>
      <c r="O2" s="675"/>
      <c r="P2" s="675"/>
      <c r="Q2" s="675"/>
      <c r="R2" s="675"/>
      <c r="S2" s="675"/>
      <c r="T2" s="675"/>
      <c r="U2" s="675"/>
    </row>
    <row r="3" spans="1:21" x14ac:dyDescent="0.25">
      <c r="A3" s="81" t="str">
        <f>'1461'!A3</f>
        <v>Based on the FLDOE 2024-25 Second Calculation</v>
      </c>
      <c r="N3" s="642" t="str">
        <f>A3</f>
        <v>Based on the FLDOE 2024-25 Second Calculation</v>
      </c>
      <c r="O3" s="642"/>
      <c r="P3" s="642"/>
      <c r="Q3" s="642"/>
      <c r="R3" s="642"/>
      <c r="S3" s="642"/>
      <c r="T3" s="642"/>
      <c r="U3" s="642"/>
    </row>
    <row r="4" spans="1:21" x14ac:dyDescent="0.25">
      <c r="A4" s="583" t="s">
        <v>0</v>
      </c>
      <c r="B4" s="583"/>
      <c r="C4" s="584" t="s">
        <v>9</v>
      </c>
      <c r="D4" s="584"/>
      <c r="E4" s="584"/>
      <c r="F4" s="4" t="str">
        <f>'1461'!F4</f>
        <v>September 2024</v>
      </c>
      <c r="G4" s="4"/>
      <c r="H4" s="4"/>
      <c r="I4" s="4"/>
      <c r="N4" s="676" t="s">
        <v>0</v>
      </c>
      <c r="O4" s="676"/>
      <c r="P4" s="677" t="str">
        <f>C4</f>
        <v>Palm Beach</v>
      </c>
      <c r="Q4" s="677"/>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585" t="s">
        <v>431</v>
      </c>
      <c r="B7" s="679"/>
      <c r="C7" s="679"/>
      <c r="D7" s="679"/>
      <c r="E7" s="679"/>
      <c r="F7" s="679"/>
      <c r="G7" s="679"/>
      <c r="H7" s="679"/>
      <c r="I7" s="679"/>
      <c r="N7" s="676" t="str">
        <f>A7</f>
        <v>1A.   2023-24 FEFP State and Local Funding</v>
      </c>
      <c r="O7" s="676"/>
      <c r="P7" s="676"/>
      <c r="Q7" s="676"/>
      <c r="R7" s="676"/>
      <c r="S7" s="676"/>
      <c r="T7" s="676"/>
      <c r="U7" s="676"/>
    </row>
    <row r="8" spans="1:21" x14ac:dyDescent="0.25">
      <c r="A8" s="84"/>
      <c r="B8" s="85" t="s">
        <v>92</v>
      </c>
      <c r="C8" s="298">
        <f>'1461'!C8</f>
        <v>5330.98</v>
      </c>
      <c r="D8" s="86"/>
      <c r="E8" s="87"/>
      <c r="F8" s="84"/>
      <c r="G8" s="85" t="s">
        <v>393</v>
      </c>
      <c r="H8" s="286">
        <f>'1461'!H8</f>
        <v>1.0407999999999999</v>
      </c>
      <c r="I8" s="75"/>
      <c r="N8" s="680" t="s">
        <v>10</v>
      </c>
      <c r="O8" s="680"/>
      <c r="P8" s="681">
        <f>C8</f>
        <v>5330.98</v>
      </c>
      <c r="Q8" s="681"/>
      <c r="R8" s="663" t="s">
        <v>394</v>
      </c>
      <c r="S8" s="664"/>
      <c r="T8" s="665">
        <f>H8</f>
        <v>1.0407999999999999</v>
      </c>
      <c r="U8" s="665"/>
    </row>
    <row r="9" spans="1:21" x14ac:dyDescent="0.25">
      <c r="A9" s="84"/>
      <c r="B9" s="85"/>
      <c r="C9" s="221"/>
      <c r="D9" s="86"/>
      <c r="E9" s="87"/>
      <c r="F9" s="84"/>
      <c r="G9" s="85" t="s">
        <v>391</v>
      </c>
      <c r="H9" s="286">
        <f>'1461'!H9</f>
        <v>1</v>
      </c>
      <c r="I9" s="75"/>
      <c r="N9" s="12"/>
      <c r="O9" s="12"/>
      <c r="P9" s="13"/>
      <c r="Q9" s="13"/>
      <c r="R9" s="386" t="s">
        <v>392</v>
      </c>
      <c r="S9" s="383"/>
      <c r="T9" s="665">
        <f>H9</f>
        <v>1</v>
      </c>
      <c r="U9" s="665"/>
    </row>
    <row r="10" spans="1:21" x14ac:dyDescent="0.25">
      <c r="A10" s="7"/>
      <c r="B10" s="42" t="s">
        <v>310</v>
      </c>
      <c r="C10" s="455" t="str">
        <f>'1461'!C10</f>
        <v xml:space="preserve"> </v>
      </c>
      <c r="D10" s="88" t="str">
        <f>'1461'!D10</f>
        <v xml:space="preserve"> </v>
      </c>
      <c r="E10" s="8"/>
      <c r="F10" s="9"/>
      <c r="G10" s="9"/>
      <c r="H10" s="10"/>
      <c r="I10" s="304" t="str">
        <f>'1461'!I10</f>
        <v>2024-25</v>
      </c>
      <c r="N10" s="12"/>
      <c r="O10" s="12"/>
      <c r="P10" s="13"/>
      <c r="Q10" s="13"/>
      <c r="R10" s="14"/>
      <c r="S10" s="14"/>
      <c r="T10" s="15"/>
      <c r="U10" s="365" t="str">
        <f>I10</f>
        <v>2024-25</v>
      </c>
    </row>
    <row r="11" spans="1:21" x14ac:dyDescent="0.25">
      <c r="A11" s="7"/>
      <c r="B11" s="7"/>
      <c r="C11" s="88" t="str">
        <f>'1461'!C11</f>
        <v>Oct 2023</v>
      </c>
      <c r="D11" s="332" t="str">
        <f>'1461'!D11</f>
        <v>Feb 2024</v>
      </c>
      <c r="E11" s="89" t="s">
        <v>8</v>
      </c>
      <c r="F11" s="586" t="s">
        <v>1</v>
      </c>
      <c r="G11" s="586"/>
      <c r="H11" s="10" t="s">
        <v>60</v>
      </c>
      <c r="I11" s="11" t="s">
        <v>27</v>
      </c>
      <c r="N11" s="12"/>
      <c r="O11" s="12"/>
      <c r="P11" s="13"/>
      <c r="Q11" s="13"/>
      <c r="R11" s="666" t="s">
        <v>1</v>
      </c>
      <c r="S11" s="666"/>
      <c r="T11" s="15" t="s">
        <v>60</v>
      </c>
      <c r="U11" s="16" t="s">
        <v>27</v>
      </c>
    </row>
    <row r="12" spans="1:21" ht="15.75" customHeight="1" x14ac:dyDescent="0.25">
      <c r="A12" s="587" t="s">
        <v>1</v>
      </c>
      <c r="B12" s="587"/>
      <c r="C12" s="323" t="str">
        <f>'1461'!C12</f>
        <v>FTE</v>
      </c>
      <c r="D12" s="323" t="str">
        <f>'1461'!D12</f>
        <v>FTE</v>
      </c>
      <c r="E12" s="323" t="s">
        <v>2</v>
      </c>
      <c r="F12" s="588" t="s">
        <v>63</v>
      </c>
      <c r="G12" s="588"/>
      <c r="H12" s="17" t="s">
        <v>59</v>
      </c>
      <c r="I12" s="387" t="s">
        <v>395</v>
      </c>
      <c r="N12" s="654" t="s">
        <v>1</v>
      </c>
      <c r="O12" s="654"/>
      <c r="P12" s="667" t="s">
        <v>19</v>
      </c>
      <c r="Q12" s="667"/>
      <c r="R12" s="668" t="s">
        <v>63</v>
      </c>
      <c r="S12" s="668"/>
      <c r="T12" s="18" t="s">
        <v>59</v>
      </c>
      <c r="U12" s="19" t="str">
        <f>I12</f>
        <v>(WFTE x BSA x CWF x SDF)</v>
      </c>
    </row>
    <row r="13" spans="1:21" x14ac:dyDescent="0.25">
      <c r="A13" s="589" t="s">
        <v>36</v>
      </c>
      <c r="B13" s="589"/>
      <c r="C13" s="91"/>
      <c r="D13" s="91"/>
      <c r="E13" s="92" t="s">
        <v>37</v>
      </c>
      <c r="F13" s="590" t="s">
        <v>38</v>
      </c>
      <c r="G13" s="590"/>
      <c r="H13" s="20" t="s">
        <v>39</v>
      </c>
      <c r="I13" s="21" t="s">
        <v>40</v>
      </c>
      <c r="N13" s="669" t="s">
        <v>36</v>
      </c>
      <c r="O13" s="669"/>
      <c r="P13" s="670" t="s">
        <v>37</v>
      </c>
      <c r="Q13" s="670"/>
      <c r="R13" s="671" t="s">
        <v>38</v>
      </c>
      <c r="S13" s="671"/>
      <c r="T13" s="22" t="s">
        <v>39</v>
      </c>
      <c r="U13" s="23" t="s">
        <v>40</v>
      </c>
    </row>
    <row r="14" spans="1:21" x14ac:dyDescent="0.25">
      <c r="A14" s="591" t="s">
        <v>20</v>
      </c>
      <c r="B14" s="591"/>
      <c r="C14" s="143">
        <v>0</v>
      </c>
      <c r="D14" s="141">
        <v>0</v>
      </c>
      <c r="E14" s="187">
        <f>IF(D$30=0,C14*2,C14+D14)</f>
        <v>0</v>
      </c>
      <c r="F14" s="682">
        <f>'1461'!F14:G14</f>
        <v>1.1180000000000001</v>
      </c>
      <c r="G14" s="682"/>
      <c r="H14" s="145">
        <f>ROUND(E14*F14,4)</f>
        <v>0</v>
      </c>
      <c r="I14" s="111">
        <f>ROUND(ROUND(ROUND(H14*$C$8,4)*($H$8),2)*(MAX($H$9,1)),2)</f>
        <v>0</v>
      </c>
      <c r="N14" s="656" t="s">
        <v>20</v>
      </c>
      <c r="O14" s="656"/>
      <c r="P14" s="657">
        <f t="shared" ref="P14:P29" si="0">IF($H$133=1,E14,0)</f>
        <v>0</v>
      </c>
      <c r="Q14" s="657"/>
      <c r="R14" s="672">
        <v>1</v>
      </c>
      <c r="S14" s="672"/>
      <c r="T14" s="95">
        <f>ROUND(P14*R14,4)</f>
        <v>0</v>
      </c>
      <c r="U14" s="472">
        <f>ROUND(ROUND(ROUND(T14*$C$8,4)*($H$8),2)*(MAX($H$9,1)),2)</f>
        <v>0</v>
      </c>
    </row>
    <row r="15" spans="1:21" x14ac:dyDescent="0.25">
      <c r="A15" s="593" t="s">
        <v>21</v>
      </c>
      <c r="B15" s="593"/>
      <c r="C15" s="143">
        <v>0</v>
      </c>
      <c r="D15" s="143">
        <v>0.5</v>
      </c>
      <c r="E15" s="116">
        <f t="shared" ref="E15:E29" si="1">IF(D$30=0,C15*2,C15+D15)</f>
        <v>0.5</v>
      </c>
      <c r="F15" s="678">
        <f>'1461'!F15:G15</f>
        <v>1.1180000000000001</v>
      </c>
      <c r="G15" s="678"/>
      <c r="H15" s="80">
        <f t="shared" ref="H15:H29" si="2">ROUND(E15*F15,4)</f>
        <v>0.55900000000000005</v>
      </c>
      <c r="I15" s="101">
        <f t="shared" ref="I15:I29" si="3">ROUND(ROUND(ROUND(H15*$C$8,4)*($H$8),2)*(MAX($H$9,1)),2)</f>
        <v>3101.6</v>
      </c>
      <c r="J15" s="65" t="str">
        <f>IF(ROUND(E15,2)=ROUND(SUM(E57:E59),2)," ","CHECK PK-3 LINES BELOW")</f>
        <v xml:space="preserve"> </v>
      </c>
      <c r="N15" s="616" t="s">
        <v>21</v>
      </c>
      <c r="O15" s="616"/>
      <c r="P15" s="657">
        <f t="shared" si="0"/>
        <v>0.5</v>
      </c>
      <c r="Q15" s="657"/>
      <c r="R15" s="662">
        <v>1</v>
      </c>
      <c r="S15" s="662"/>
      <c r="T15" s="95">
        <f t="shared" ref="T15:T29" si="4">ROUND(P15*R15,4)</f>
        <v>0.5</v>
      </c>
      <c r="U15" s="472">
        <f t="shared" ref="U15:U29" si="5">ROUND(ROUND(ROUND(T15*$C$8,4)*($H$8),2)*(MAX($H$9,1)),2)</f>
        <v>2774.24</v>
      </c>
    </row>
    <row r="16" spans="1:21" x14ac:dyDescent="0.25">
      <c r="A16" s="593" t="s">
        <v>22</v>
      </c>
      <c r="B16" s="593"/>
      <c r="C16" s="143">
        <v>0</v>
      </c>
      <c r="D16" s="143">
        <v>0</v>
      </c>
      <c r="E16" s="116">
        <f t="shared" si="1"/>
        <v>0</v>
      </c>
      <c r="F16" s="678">
        <f>'1461'!F16:G16</f>
        <v>1</v>
      </c>
      <c r="G16" s="678"/>
      <c r="H16" s="80">
        <f t="shared" si="2"/>
        <v>0</v>
      </c>
      <c r="I16" s="101">
        <f t="shared" si="3"/>
        <v>0</v>
      </c>
      <c r="N16" s="616" t="s">
        <v>22</v>
      </c>
      <c r="O16" s="616"/>
      <c r="P16" s="657">
        <f t="shared" si="0"/>
        <v>0</v>
      </c>
      <c r="Q16" s="657"/>
      <c r="R16" s="662">
        <v>1</v>
      </c>
      <c r="S16" s="662"/>
      <c r="T16" s="95">
        <f t="shared" si="4"/>
        <v>0</v>
      </c>
      <c r="U16" s="472">
        <f t="shared" si="5"/>
        <v>0</v>
      </c>
    </row>
    <row r="17" spans="1:21" x14ac:dyDescent="0.25">
      <c r="A17" s="593" t="s">
        <v>23</v>
      </c>
      <c r="B17" s="593"/>
      <c r="C17" s="143">
        <v>0</v>
      </c>
      <c r="D17" s="143">
        <v>0</v>
      </c>
      <c r="E17" s="116">
        <f t="shared" si="1"/>
        <v>0</v>
      </c>
      <c r="F17" s="678">
        <f>'1461'!F17:G17</f>
        <v>1</v>
      </c>
      <c r="G17" s="678"/>
      <c r="H17" s="80">
        <f t="shared" si="2"/>
        <v>0</v>
      </c>
      <c r="I17" s="101">
        <f t="shared" si="3"/>
        <v>0</v>
      </c>
      <c r="J17" s="65" t="str">
        <f>IF(ROUND(E17,2)=ROUND(SUM(E60:E62),2)," ","CHECK 4-8 LINES BELOW")</f>
        <v xml:space="preserve"> </v>
      </c>
      <c r="N17" s="616" t="s">
        <v>23</v>
      </c>
      <c r="O17" s="616"/>
      <c r="P17" s="657">
        <f t="shared" si="0"/>
        <v>0</v>
      </c>
      <c r="Q17" s="657"/>
      <c r="R17" s="662">
        <v>1</v>
      </c>
      <c r="S17" s="662"/>
      <c r="T17" s="95">
        <f t="shared" si="4"/>
        <v>0</v>
      </c>
      <c r="U17" s="472">
        <f t="shared" si="5"/>
        <v>0</v>
      </c>
    </row>
    <row r="18" spans="1:21" x14ac:dyDescent="0.25">
      <c r="A18" s="593" t="s">
        <v>24</v>
      </c>
      <c r="B18" s="593"/>
      <c r="C18" s="143">
        <v>0</v>
      </c>
      <c r="D18" s="143">
        <v>0</v>
      </c>
      <c r="E18" s="116">
        <f t="shared" si="1"/>
        <v>0</v>
      </c>
      <c r="F18" s="678">
        <f>'1461'!F18:G18</f>
        <v>0.97799999999999998</v>
      </c>
      <c r="G18" s="678"/>
      <c r="H18" s="80">
        <f t="shared" si="2"/>
        <v>0</v>
      </c>
      <c r="I18" s="101">
        <f t="shared" si="3"/>
        <v>0</v>
      </c>
      <c r="N18" s="616" t="s">
        <v>24</v>
      </c>
      <c r="O18" s="616"/>
      <c r="P18" s="657">
        <f t="shared" si="0"/>
        <v>0</v>
      </c>
      <c r="Q18" s="657"/>
      <c r="R18" s="662">
        <v>1</v>
      </c>
      <c r="S18" s="662"/>
      <c r="T18" s="95">
        <f t="shared" si="4"/>
        <v>0</v>
      </c>
      <c r="U18" s="472">
        <f t="shared" si="5"/>
        <v>0</v>
      </c>
    </row>
    <row r="19" spans="1:21" x14ac:dyDescent="0.25">
      <c r="A19" s="593" t="s">
        <v>25</v>
      </c>
      <c r="B19" s="593"/>
      <c r="C19" s="143">
        <v>0</v>
      </c>
      <c r="D19" s="143">
        <v>0</v>
      </c>
      <c r="E19" s="116">
        <f t="shared" si="1"/>
        <v>0</v>
      </c>
      <c r="F19" s="678">
        <f>'1461'!F19:G19</f>
        <v>0.97799999999999998</v>
      </c>
      <c r="G19" s="678"/>
      <c r="H19" s="80">
        <f t="shared" si="2"/>
        <v>0</v>
      </c>
      <c r="I19" s="101">
        <f t="shared" si="3"/>
        <v>0</v>
      </c>
      <c r="J19" s="65" t="str">
        <f>IF(ROUND(E19,2)=ROUND(SUM(E63:E65),2)," ","CHECK 4-8 LINES BELOW")</f>
        <v xml:space="preserve"> </v>
      </c>
      <c r="N19" s="616" t="s">
        <v>25</v>
      </c>
      <c r="O19" s="616"/>
      <c r="P19" s="657">
        <f t="shared" si="0"/>
        <v>0</v>
      </c>
      <c r="Q19" s="657"/>
      <c r="R19" s="662">
        <v>1</v>
      </c>
      <c r="S19" s="662"/>
      <c r="T19" s="95">
        <f t="shared" si="4"/>
        <v>0</v>
      </c>
      <c r="U19" s="471">
        <f t="shared" si="5"/>
        <v>0</v>
      </c>
    </row>
    <row r="20" spans="1:21" x14ac:dyDescent="0.25">
      <c r="A20" s="593" t="s">
        <v>79</v>
      </c>
      <c r="B20" s="593"/>
      <c r="C20" s="143">
        <v>25.5</v>
      </c>
      <c r="D20" s="143">
        <v>29.73</v>
      </c>
      <c r="E20" s="116">
        <f t="shared" si="1"/>
        <v>55.230000000000004</v>
      </c>
      <c r="F20" s="678">
        <f>'1461'!F20:G20</f>
        <v>3.6970000000000001</v>
      </c>
      <c r="G20" s="678"/>
      <c r="H20" s="80">
        <f t="shared" si="2"/>
        <v>204.18530000000001</v>
      </c>
      <c r="I20" s="101">
        <f t="shared" si="3"/>
        <v>1132918.8700000001</v>
      </c>
      <c r="N20" s="616" t="s">
        <v>79</v>
      </c>
      <c r="O20" s="616"/>
      <c r="P20" s="657">
        <f t="shared" si="0"/>
        <v>55.230000000000004</v>
      </c>
      <c r="Q20" s="657"/>
      <c r="R20" s="662">
        <v>1</v>
      </c>
      <c r="S20" s="662"/>
      <c r="T20" s="95">
        <f t="shared" si="4"/>
        <v>55.23</v>
      </c>
      <c r="U20" s="472">
        <f t="shared" si="5"/>
        <v>306442.77</v>
      </c>
    </row>
    <row r="21" spans="1:21" x14ac:dyDescent="0.25">
      <c r="A21" s="593" t="s">
        <v>80</v>
      </c>
      <c r="B21" s="593"/>
      <c r="C21" s="143">
        <v>22</v>
      </c>
      <c r="D21" s="143">
        <v>24</v>
      </c>
      <c r="E21" s="116">
        <f t="shared" si="1"/>
        <v>46</v>
      </c>
      <c r="F21" s="678">
        <f>'1461'!F21:G21</f>
        <v>3.6970000000000001</v>
      </c>
      <c r="G21" s="678"/>
      <c r="H21" s="80">
        <f t="shared" si="2"/>
        <v>170.06200000000001</v>
      </c>
      <c r="I21" s="101">
        <f t="shared" si="3"/>
        <v>943586.28</v>
      </c>
      <c r="N21" s="616" t="s">
        <v>80</v>
      </c>
      <c r="O21" s="616"/>
      <c r="P21" s="657">
        <f t="shared" si="0"/>
        <v>46</v>
      </c>
      <c r="Q21" s="657"/>
      <c r="R21" s="662">
        <v>1</v>
      </c>
      <c r="S21" s="662"/>
      <c r="T21" s="95">
        <f t="shared" si="4"/>
        <v>46</v>
      </c>
      <c r="U21" s="472">
        <f t="shared" si="5"/>
        <v>255230.26</v>
      </c>
    </row>
    <row r="22" spans="1:21" x14ac:dyDescent="0.25">
      <c r="A22" s="593" t="s">
        <v>81</v>
      </c>
      <c r="B22" s="593"/>
      <c r="C22" s="143">
        <v>0</v>
      </c>
      <c r="D22" s="143">
        <v>0</v>
      </c>
      <c r="E22" s="116">
        <f t="shared" si="1"/>
        <v>0</v>
      </c>
      <c r="F22" s="678">
        <f>'1461'!F22:G22</f>
        <v>3.6970000000000001</v>
      </c>
      <c r="G22" s="678"/>
      <c r="H22" s="80">
        <f t="shared" si="2"/>
        <v>0</v>
      </c>
      <c r="I22" s="101">
        <f t="shared" si="3"/>
        <v>0</v>
      </c>
      <c r="N22" s="616" t="s">
        <v>81</v>
      </c>
      <c r="O22" s="616"/>
      <c r="P22" s="657">
        <f t="shared" si="0"/>
        <v>0</v>
      </c>
      <c r="Q22" s="657"/>
      <c r="R22" s="662">
        <v>1</v>
      </c>
      <c r="S22" s="662"/>
      <c r="T22" s="95">
        <f t="shared" si="4"/>
        <v>0</v>
      </c>
      <c r="U22" s="472">
        <f t="shared" si="5"/>
        <v>0</v>
      </c>
    </row>
    <row r="23" spans="1:21" x14ac:dyDescent="0.25">
      <c r="A23" s="593" t="s">
        <v>82</v>
      </c>
      <c r="B23" s="593"/>
      <c r="C23" s="143">
        <v>6.5</v>
      </c>
      <c r="D23" s="143">
        <v>9.0500000000000007</v>
      </c>
      <c r="E23" s="116">
        <f t="shared" si="1"/>
        <v>15.55</v>
      </c>
      <c r="F23" s="678">
        <f>'1461'!F23:G23</f>
        <v>5.992</v>
      </c>
      <c r="G23" s="678"/>
      <c r="H23" s="80">
        <f t="shared" si="2"/>
        <v>93.175600000000003</v>
      </c>
      <c r="I23" s="101">
        <f t="shared" si="3"/>
        <v>516983.32</v>
      </c>
      <c r="N23" s="616" t="s">
        <v>82</v>
      </c>
      <c r="O23" s="616"/>
      <c r="P23" s="657">
        <f t="shared" si="0"/>
        <v>15.55</v>
      </c>
      <c r="Q23" s="657"/>
      <c r="R23" s="662">
        <v>1</v>
      </c>
      <c r="S23" s="662"/>
      <c r="T23" s="95">
        <f t="shared" si="4"/>
        <v>15.55</v>
      </c>
      <c r="U23" s="472">
        <f t="shared" si="5"/>
        <v>86278.93</v>
      </c>
    </row>
    <row r="24" spans="1:21" x14ac:dyDescent="0.25">
      <c r="A24" s="593" t="s">
        <v>83</v>
      </c>
      <c r="B24" s="593"/>
      <c r="C24" s="143">
        <v>9</v>
      </c>
      <c r="D24" s="143">
        <v>11.58</v>
      </c>
      <c r="E24" s="116">
        <f t="shared" si="1"/>
        <v>20.58</v>
      </c>
      <c r="F24" s="678">
        <f>'1461'!F24:G24</f>
        <v>5.992</v>
      </c>
      <c r="G24" s="678"/>
      <c r="H24" s="80">
        <f t="shared" si="2"/>
        <v>123.3154</v>
      </c>
      <c r="I24" s="101">
        <f t="shared" si="3"/>
        <v>684213.52</v>
      </c>
      <c r="N24" s="616" t="s">
        <v>83</v>
      </c>
      <c r="O24" s="616"/>
      <c r="P24" s="657">
        <f t="shared" si="0"/>
        <v>20.58</v>
      </c>
      <c r="Q24" s="657"/>
      <c r="R24" s="662">
        <v>1</v>
      </c>
      <c r="S24" s="662"/>
      <c r="T24" s="95">
        <f t="shared" si="4"/>
        <v>20.58</v>
      </c>
      <c r="U24" s="472">
        <f t="shared" si="5"/>
        <v>114187.8</v>
      </c>
    </row>
    <row r="25" spans="1:21" x14ac:dyDescent="0.25">
      <c r="A25" s="593" t="s">
        <v>84</v>
      </c>
      <c r="B25" s="593"/>
      <c r="C25" s="143">
        <v>0</v>
      </c>
      <c r="D25" s="143">
        <v>0</v>
      </c>
      <c r="E25" s="116">
        <f t="shared" si="1"/>
        <v>0</v>
      </c>
      <c r="F25" s="678">
        <f>'1461'!F25:G25</f>
        <v>5.992</v>
      </c>
      <c r="G25" s="678"/>
      <c r="H25" s="80">
        <f t="shared" si="2"/>
        <v>0</v>
      </c>
      <c r="I25" s="101">
        <f t="shared" si="3"/>
        <v>0</v>
      </c>
      <c r="N25" s="616" t="s">
        <v>84</v>
      </c>
      <c r="O25" s="616"/>
      <c r="P25" s="657">
        <f t="shared" si="0"/>
        <v>0</v>
      </c>
      <c r="Q25" s="657"/>
      <c r="R25" s="662">
        <v>1</v>
      </c>
      <c r="S25" s="662"/>
      <c r="T25" s="95">
        <f t="shared" si="4"/>
        <v>0</v>
      </c>
      <c r="U25" s="472">
        <f t="shared" si="5"/>
        <v>0</v>
      </c>
    </row>
    <row r="26" spans="1:21" x14ac:dyDescent="0.25">
      <c r="A26" s="593" t="s">
        <v>85</v>
      </c>
      <c r="B26" s="593"/>
      <c r="C26" s="143">
        <v>0</v>
      </c>
      <c r="D26" s="143">
        <v>0</v>
      </c>
      <c r="E26" s="116">
        <f t="shared" si="1"/>
        <v>0</v>
      </c>
      <c r="F26" s="678">
        <f>'1461'!F26:G26</f>
        <v>1.1919999999999999</v>
      </c>
      <c r="G26" s="678"/>
      <c r="H26" s="80">
        <f t="shared" si="2"/>
        <v>0</v>
      </c>
      <c r="I26" s="101">
        <f t="shared" si="3"/>
        <v>0</v>
      </c>
      <c r="N26" s="616" t="s">
        <v>85</v>
      </c>
      <c r="O26" s="616"/>
      <c r="P26" s="657">
        <f t="shared" si="0"/>
        <v>0</v>
      </c>
      <c r="Q26" s="657"/>
      <c r="R26" s="662">
        <v>1</v>
      </c>
      <c r="S26" s="662"/>
      <c r="T26" s="95">
        <f t="shared" si="4"/>
        <v>0</v>
      </c>
      <c r="U26" s="472">
        <f t="shared" si="5"/>
        <v>0</v>
      </c>
    </row>
    <row r="27" spans="1:21" x14ac:dyDescent="0.25">
      <c r="A27" s="593" t="s">
        <v>86</v>
      </c>
      <c r="B27" s="593"/>
      <c r="C27" s="143">
        <v>0</v>
      </c>
      <c r="D27" s="143">
        <v>0</v>
      </c>
      <c r="E27" s="116">
        <f t="shared" si="1"/>
        <v>0</v>
      </c>
      <c r="F27" s="678">
        <f>'1461'!F27:G27</f>
        <v>1.1919999999999999</v>
      </c>
      <c r="G27" s="678"/>
      <c r="H27" s="80">
        <f t="shared" si="2"/>
        <v>0</v>
      </c>
      <c r="I27" s="101">
        <f t="shared" si="3"/>
        <v>0</v>
      </c>
      <c r="N27" s="616" t="s">
        <v>86</v>
      </c>
      <c r="O27" s="616"/>
      <c r="P27" s="657">
        <f t="shared" si="0"/>
        <v>0</v>
      </c>
      <c r="Q27" s="657"/>
      <c r="R27" s="662">
        <v>1</v>
      </c>
      <c r="S27" s="662"/>
      <c r="T27" s="95">
        <f t="shared" si="4"/>
        <v>0</v>
      </c>
      <c r="U27" s="472">
        <f t="shared" si="5"/>
        <v>0</v>
      </c>
    </row>
    <row r="28" spans="1:21" x14ac:dyDescent="0.25">
      <c r="A28" s="593" t="s">
        <v>87</v>
      </c>
      <c r="B28" s="593"/>
      <c r="C28" s="143">
        <v>0</v>
      </c>
      <c r="D28" s="143">
        <v>0</v>
      </c>
      <c r="E28" s="116">
        <f t="shared" si="1"/>
        <v>0</v>
      </c>
      <c r="F28" s="678">
        <f>'1461'!F28:G28</f>
        <v>1.1919999999999999</v>
      </c>
      <c r="G28" s="678"/>
      <c r="H28" s="80">
        <f t="shared" si="2"/>
        <v>0</v>
      </c>
      <c r="I28" s="101">
        <f t="shared" si="3"/>
        <v>0</v>
      </c>
      <c r="N28" s="616" t="s">
        <v>87</v>
      </c>
      <c r="O28" s="616"/>
      <c r="P28" s="657">
        <f t="shared" si="0"/>
        <v>0</v>
      </c>
      <c r="Q28" s="657"/>
      <c r="R28" s="662">
        <v>1</v>
      </c>
      <c r="S28" s="662"/>
      <c r="T28" s="95">
        <f t="shared" si="4"/>
        <v>0</v>
      </c>
      <c r="U28" s="472">
        <f t="shared" si="5"/>
        <v>0</v>
      </c>
    </row>
    <row r="29" spans="1:21" x14ac:dyDescent="0.25">
      <c r="A29" s="593" t="s">
        <v>88</v>
      </c>
      <c r="B29" s="593"/>
      <c r="C29" s="110">
        <v>0</v>
      </c>
      <c r="D29" s="110">
        <v>0</v>
      </c>
      <c r="E29" s="154">
        <f t="shared" si="1"/>
        <v>0</v>
      </c>
      <c r="F29" s="678">
        <f>'1461'!F29:G29</f>
        <v>1.079</v>
      </c>
      <c r="G29" s="678"/>
      <c r="H29" s="93">
        <f t="shared" si="2"/>
        <v>0</v>
      </c>
      <c r="I29" s="94">
        <f t="shared" si="3"/>
        <v>0</v>
      </c>
      <c r="N29" s="631" t="s">
        <v>88</v>
      </c>
      <c r="O29" s="631"/>
      <c r="P29" s="657">
        <f t="shared" si="0"/>
        <v>0</v>
      </c>
      <c r="Q29" s="657"/>
      <c r="R29" s="658">
        <v>1</v>
      </c>
      <c r="S29" s="658"/>
      <c r="T29" s="95">
        <f t="shared" si="4"/>
        <v>0</v>
      </c>
      <c r="U29" s="472">
        <f t="shared" si="5"/>
        <v>0</v>
      </c>
    </row>
    <row r="30" spans="1:21" x14ac:dyDescent="0.25">
      <c r="A30" s="605" t="s">
        <v>5</v>
      </c>
      <c r="B30" s="605"/>
      <c r="C30" s="94">
        <f>SUM(C14:C29)</f>
        <v>63</v>
      </c>
      <c r="D30" s="94">
        <f>SUM(D14:D29)</f>
        <v>74.86</v>
      </c>
      <c r="E30" s="94">
        <f>SUM(E14:E29)</f>
        <v>137.86000000000001</v>
      </c>
      <c r="F30" s="597"/>
      <c r="G30" s="597"/>
      <c r="H30" s="99">
        <f>SUM(H14:H29)</f>
        <v>591.29729999999995</v>
      </c>
      <c r="I30" s="94">
        <f>SUM(I14:I29)</f>
        <v>3280803.5900000003</v>
      </c>
      <c r="N30" s="659" t="s">
        <v>5</v>
      </c>
      <c r="O30" s="659"/>
      <c r="P30" s="660">
        <f>SUM(P14:P29)</f>
        <v>137.86000000000001</v>
      </c>
      <c r="Q30" s="660"/>
      <c r="R30" s="632"/>
      <c r="S30" s="632"/>
      <c r="T30" s="100">
        <f>SUM(T14:T29)</f>
        <v>137.85999999999999</v>
      </c>
      <c r="U30" s="472">
        <f>SUM(U14:U29)</f>
        <v>764914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85" t="s">
        <v>233</v>
      </c>
      <c r="G34" s="685"/>
      <c r="H34" s="685"/>
      <c r="I34" s="101"/>
      <c r="N34" s="28"/>
      <c r="O34" s="28"/>
      <c r="P34" s="29"/>
      <c r="Q34" s="29"/>
      <c r="R34" s="30"/>
      <c r="S34" s="30"/>
      <c r="T34" s="102"/>
      <c r="U34" s="103"/>
    </row>
    <row r="35" spans="1:21" hidden="1" x14ac:dyDescent="0.25">
      <c r="A35" s="3"/>
      <c r="B35" s="69"/>
      <c r="C35" s="69"/>
      <c r="D35" s="69"/>
      <c r="E35" s="69"/>
      <c r="F35" s="685"/>
      <c r="G35" s="685"/>
      <c r="H35" s="685"/>
      <c r="I35" s="24" t="s">
        <v>61</v>
      </c>
      <c r="N35" s="642" t="s">
        <v>26</v>
      </c>
      <c r="O35" s="642"/>
      <c r="P35" s="642"/>
      <c r="Q35" s="642"/>
      <c r="R35" s="642"/>
      <c r="S35" s="642"/>
      <c r="T35" s="642"/>
      <c r="U35" s="25" t="str">
        <f>I35</f>
        <v>2015-16</v>
      </c>
    </row>
    <row r="36" spans="1:21" hidden="1" x14ac:dyDescent="0.25">
      <c r="A36" s="26"/>
      <c r="B36" s="26"/>
      <c r="C36" s="88" t="s">
        <v>93</v>
      </c>
      <c r="D36" s="88" t="s">
        <v>94</v>
      </c>
      <c r="E36" s="89" t="s">
        <v>8</v>
      </c>
      <c r="F36" s="685"/>
      <c r="G36" s="685"/>
      <c r="H36" s="685"/>
      <c r="I36" s="24" t="s">
        <v>27</v>
      </c>
      <c r="N36" s="28"/>
      <c r="O36" s="28"/>
      <c r="P36" s="29"/>
      <c r="Q36" s="29"/>
      <c r="R36" s="30"/>
      <c r="S36" s="30"/>
      <c r="T36" s="102"/>
      <c r="U36" s="25" t="s">
        <v>27</v>
      </c>
    </row>
    <row r="37" spans="1:21" ht="26.25" hidden="1" x14ac:dyDescent="0.25">
      <c r="A37" s="587" t="s">
        <v>50</v>
      </c>
      <c r="B37" s="587"/>
      <c r="C37" s="90" t="s">
        <v>2</v>
      </c>
      <c r="D37" s="90" t="s">
        <v>2</v>
      </c>
      <c r="E37" s="90" t="s">
        <v>2</v>
      </c>
      <c r="F37" s="686"/>
      <c r="G37" s="686"/>
      <c r="H37" s="686"/>
      <c r="I37" s="31" t="s">
        <v>395</v>
      </c>
      <c r="N37" s="654" t="s">
        <v>50</v>
      </c>
      <c r="O37" s="654"/>
      <c r="P37" s="655" t="s">
        <v>19</v>
      </c>
      <c r="Q37" s="655"/>
      <c r="R37" s="655"/>
      <c r="S37" s="655"/>
      <c r="T37" s="655"/>
      <c r="U37" s="19" t="str">
        <f>I37</f>
        <v>(WFTE x BSA x CWF x SDF)</v>
      </c>
    </row>
    <row r="38" spans="1:21" hidden="1" x14ac:dyDescent="0.25">
      <c r="A38" s="591" t="s">
        <v>45</v>
      </c>
      <c r="B38" s="591"/>
      <c r="C38" s="147">
        <v>0</v>
      </c>
      <c r="D38" s="147">
        <v>0</v>
      </c>
      <c r="E38" s="187">
        <f t="shared" ref="E38:E43" si="6">IF(D$44=0,C38*2,C38+D38)</f>
        <v>0</v>
      </c>
      <c r="F38" s="148"/>
      <c r="G38" s="148"/>
      <c r="H38" s="148"/>
      <c r="I38" s="111">
        <f>ROUND(ROUND(ROUND(E38*$C$8,4)*($H$8),2)*(MAX($H$9,1)),2)</f>
        <v>0</v>
      </c>
      <c r="N38" s="656" t="s">
        <v>45</v>
      </c>
      <c r="O38" s="656"/>
      <c r="P38" s="623">
        <f t="shared" ref="P38:P43" si="7">IF($H$133=1,E38,0)</f>
        <v>0</v>
      </c>
      <c r="Q38" s="623"/>
      <c r="R38" s="623"/>
      <c r="S38" s="623"/>
      <c r="T38" s="623"/>
      <c r="U38" s="98">
        <f>ROUND(ROUND(ROUND(P38*$C$8,4)*($H$8),2)*(MAX($H$9,1)),2)</f>
        <v>0</v>
      </c>
    </row>
    <row r="39" spans="1:21" hidden="1" x14ac:dyDescent="0.25">
      <c r="A39" s="593" t="s">
        <v>46</v>
      </c>
      <c r="B39" s="593"/>
      <c r="C39" s="150">
        <v>0</v>
      </c>
      <c r="D39" s="150">
        <v>0</v>
      </c>
      <c r="E39" s="116">
        <f t="shared" si="6"/>
        <v>0</v>
      </c>
      <c r="F39" s="151"/>
      <c r="G39" s="151"/>
      <c r="H39" s="151"/>
      <c r="I39" s="101">
        <f t="shared" ref="I39:I43" si="8">ROUND(ROUND(ROUND(E39*$C$8,4)*($H$8),2)*(MAX($H$9,1)),2)</f>
        <v>0</v>
      </c>
      <c r="N39" s="616" t="s">
        <v>46</v>
      </c>
      <c r="O39" s="616"/>
      <c r="P39" s="623">
        <f t="shared" si="7"/>
        <v>0</v>
      </c>
      <c r="Q39" s="623"/>
      <c r="R39" s="623"/>
      <c r="S39" s="623"/>
      <c r="T39" s="623"/>
      <c r="U39" s="98">
        <f t="shared" ref="U39:U43" si="9">ROUND(ROUND(ROUND(P39*$C$8,4)*($H$8),2)*(MAX($H$9,1)),2)</f>
        <v>0</v>
      </c>
    </row>
    <row r="40" spans="1:21" hidden="1" x14ac:dyDescent="0.25">
      <c r="A40" s="598" t="s">
        <v>47</v>
      </c>
      <c r="B40" s="598"/>
      <c r="C40" s="150">
        <v>0</v>
      </c>
      <c r="D40" s="150">
        <v>0</v>
      </c>
      <c r="E40" s="116">
        <f t="shared" si="6"/>
        <v>0</v>
      </c>
      <c r="F40" s="151"/>
      <c r="G40" s="151"/>
      <c r="H40" s="151"/>
      <c r="I40" s="101">
        <f t="shared" si="8"/>
        <v>0</v>
      </c>
      <c r="N40" s="661" t="s">
        <v>47</v>
      </c>
      <c r="O40" s="661"/>
      <c r="P40" s="623">
        <f t="shared" si="7"/>
        <v>0</v>
      </c>
      <c r="Q40" s="623"/>
      <c r="R40" s="623"/>
      <c r="S40" s="623"/>
      <c r="T40" s="623"/>
      <c r="U40" s="98">
        <f t="shared" si="9"/>
        <v>0</v>
      </c>
    </row>
    <row r="41" spans="1:21" hidden="1" x14ac:dyDescent="0.25">
      <c r="A41" s="593" t="s">
        <v>48</v>
      </c>
      <c r="B41" s="593"/>
      <c r="C41" s="150">
        <v>0</v>
      </c>
      <c r="D41" s="150">
        <v>0</v>
      </c>
      <c r="E41" s="116">
        <f t="shared" si="6"/>
        <v>0</v>
      </c>
      <c r="F41" s="151"/>
      <c r="G41" s="151"/>
      <c r="H41" s="151"/>
      <c r="I41" s="101">
        <f t="shared" si="8"/>
        <v>0</v>
      </c>
      <c r="N41" s="616" t="s">
        <v>48</v>
      </c>
      <c r="O41" s="616"/>
      <c r="P41" s="623">
        <f t="shared" si="7"/>
        <v>0</v>
      </c>
      <c r="Q41" s="623"/>
      <c r="R41" s="623"/>
      <c r="S41" s="623"/>
      <c r="T41" s="623"/>
      <c r="U41" s="98">
        <f t="shared" si="9"/>
        <v>0</v>
      </c>
    </row>
    <row r="42" spans="1:21" hidden="1" x14ac:dyDescent="0.25">
      <c r="A42" s="593" t="s">
        <v>49</v>
      </c>
      <c r="B42" s="593"/>
      <c r="C42" s="150">
        <v>0</v>
      </c>
      <c r="D42" s="150">
        <v>0</v>
      </c>
      <c r="E42" s="116">
        <f t="shared" si="6"/>
        <v>0</v>
      </c>
      <c r="F42" s="151"/>
      <c r="G42" s="151"/>
      <c r="H42" s="151"/>
      <c r="I42" s="101">
        <f t="shared" si="8"/>
        <v>0</v>
      </c>
      <c r="N42" s="616" t="s">
        <v>49</v>
      </c>
      <c r="O42" s="616"/>
      <c r="P42" s="623">
        <f t="shared" si="7"/>
        <v>0</v>
      </c>
      <c r="Q42" s="623"/>
      <c r="R42" s="623"/>
      <c r="S42" s="623"/>
      <c r="T42" s="623"/>
      <c r="U42" s="98">
        <f t="shared" si="9"/>
        <v>0</v>
      </c>
    </row>
    <row r="43" spans="1:21" hidden="1" x14ac:dyDescent="0.25">
      <c r="A43" s="593" t="s">
        <v>41</v>
      </c>
      <c r="B43" s="593"/>
      <c r="C43" s="149">
        <v>0</v>
      </c>
      <c r="D43" s="149">
        <v>0</v>
      </c>
      <c r="E43" s="154">
        <f t="shared" si="6"/>
        <v>0</v>
      </c>
      <c r="F43" s="151"/>
      <c r="G43" s="151"/>
      <c r="H43" s="151"/>
      <c r="I43" s="94">
        <f t="shared" si="8"/>
        <v>0</v>
      </c>
      <c r="N43" s="631" t="s">
        <v>41</v>
      </c>
      <c r="O43" s="631"/>
      <c r="P43" s="623">
        <f t="shared" si="7"/>
        <v>0</v>
      </c>
      <c r="Q43" s="623"/>
      <c r="R43" s="623"/>
      <c r="S43" s="623"/>
      <c r="T43" s="623"/>
      <c r="U43" s="98">
        <f t="shared" si="9"/>
        <v>0</v>
      </c>
    </row>
    <row r="44" spans="1:21" hidden="1" x14ac:dyDescent="0.25">
      <c r="A44" s="3"/>
      <c r="B44" s="52" t="s">
        <v>95</v>
      </c>
      <c r="C44" s="97">
        <f>SUM(C38:C43)</f>
        <v>0</v>
      </c>
      <c r="D44" s="97">
        <f>SUM(D38:D43)</f>
        <v>0</v>
      </c>
      <c r="E44" s="97">
        <f>SUM(E38:E43)</f>
        <v>0</v>
      </c>
      <c r="F44" s="32"/>
      <c r="G44" s="106"/>
      <c r="H44" s="107" t="s">
        <v>97</v>
      </c>
      <c r="I44" s="97">
        <f>SUM(I38:I43)</f>
        <v>0</v>
      </c>
      <c r="N44" s="618" t="s">
        <v>43</v>
      </c>
      <c r="O44" s="618"/>
      <c r="P44" s="618"/>
      <c r="Q44" s="618"/>
      <c r="R44" s="33">
        <f>SUM(P38:R43)</f>
        <v>0</v>
      </c>
      <c r="S44" s="632" t="s">
        <v>51</v>
      </c>
      <c r="T44" s="63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591.29729999999995</v>
      </c>
      <c r="F46" s="34"/>
      <c r="G46" s="106"/>
      <c r="H46" s="107" t="s">
        <v>98</v>
      </c>
      <c r="I46" s="94">
        <f>SUM(I44,I30)</f>
        <v>3280803.5900000003</v>
      </c>
      <c r="N46" s="618" t="s">
        <v>44</v>
      </c>
      <c r="O46" s="618"/>
      <c r="P46" s="618"/>
      <c r="Q46" s="618"/>
      <c r="R46" s="35">
        <f>R44+T30</f>
        <v>137.85999999999999</v>
      </c>
      <c r="S46" s="632" t="s">
        <v>42</v>
      </c>
      <c r="T46" s="632"/>
      <c r="U46" s="108">
        <f>SUM(U44,U30)</f>
        <v>764914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396</v>
      </c>
      <c r="B48" s="26"/>
      <c r="C48" s="26"/>
      <c r="D48" s="26"/>
      <c r="E48" s="26"/>
      <c r="F48" s="34"/>
      <c r="G48" s="27"/>
      <c r="H48" s="27"/>
      <c r="I48" s="101"/>
      <c r="N48" s="382" t="s">
        <v>396</v>
      </c>
      <c r="O48" s="28"/>
      <c r="P48" s="28"/>
      <c r="Q48" s="28"/>
      <c r="R48" s="35"/>
      <c r="S48" s="30"/>
      <c r="T48" s="30"/>
      <c r="U48" s="401"/>
    </row>
    <row r="49" spans="1:22" s="390" customFormat="1" ht="9" customHeight="1" x14ac:dyDescent="0.2">
      <c r="A49" s="480" t="s">
        <v>397</v>
      </c>
      <c r="F49" s="391"/>
      <c r="G49" s="392"/>
      <c r="H49" s="392"/>
      <c r="I49" s="393"/>
      <c r="N49" s="402" t="s">
        <v>397</v>
      </c>
      <c r="O49" s="394"/>
      <c r="P49" s="394"/>
      <c r="Q49" s="394"/>
      <c r="R49" s="395"/>
      <c r="S49" s="396"/>
      <c r="T49" s="396"/>
      <c r="U49" s="403"/>
    </row>
    <row r="50" spans="1:22" s="390" customFormat="1" ht="11.25" customHeight="1" x14ac:dyDescent="0.2">
      <c r="A50" s="482" t="s">
        <v>398</v>
      </c>
      <c r="F50" s="391"/>
      <c r="G50" s="392"/>
      <c r="H50" s="392"/>
      <c r="I50" s="393"/>
      <c r="N50" s="404" t="s">
        <v>398</v>
      </c>
      <c r="O50" s="394"/>
      <c r="P50" s="394"/>
      <c r="Q50" s="394"/>
      <c r="R50" s="395"/>
      <c r="S50" s="396"/>
      <c r="T50" s="396"/>
      <c r="U50" s="403"/>
    </row>
    <row r="51" spans="1:22" x14ac:dyDescent="0.25">
      <c r="A51" s="388"/>
      <c r="B51" s="398" t="s">
        <v>514</v>
      </c>
      <c r="C51" s="26"/>
      <c r="D51" s="26"/>
      <c r="E51" s="43" t="s">
        <v>399</v>
      </c>
      <c r="F51" s="399">
        <v>3280803.5900000003</v>
      </c>
      <c r="G51" s="109" t="s">
        <v>6</v>
      </c>
      <c r="H51" s="400">
        <v>5.5899999999999998E-2</v>
      </c>
      <c r="I51" s="101">
        <f>ROUND(F51*H51,2)</f>
        <v>183396.92</v>
      </c>
      <c r="N51" s="405"/>
      <c r="O51" s="406" t="s">
        <v>513</v>
      </c>
      <c r="P51" s="28"/>
      <c r="Q51" s="44" t="s">
        <v>399</v>
      </c>
      <c r="R51" s="407">
        <f>U30</f>
        <v>764914</v>
      </c>
      <c r="S51" s="408" t="s">
        <v>6</v>
      </c>
      <c r="T51" s="409">
        <v>5.5899999999999998E-2</v>
      </c>
      <c r="U51" s="401">
        <f>ROUND(R51*T51,2)</f>
        <v>42758.69</v>
      </c>
    </row>
    <row r="52" spans="1:22" x14ac:dyDescent="0.25">
      <c r="A52" s="26"/>
      <c r="B52" s="558" t="s">
        <v>522</v>
      </c>
      <c r="C52" s="26"/>
      <c r="D52" s="26"/>
      <c r="E52" s="43" t="s">
        <v>399</v>
      </c>
      <c r="F52" s="399">
        <v>3280803.5900000003</v>
      </c>
      <c r="G52" s="109" t="s">
        <v>6</v>
      </c>
      <c r="H52" s="400">
        <v>1.0699999999999999E-2</v>
      </c>
      <c r="I52" s="101">
        <f>ROUND(F52*H52,2)</f>
        <v>35104.6</v>
      </c>
      <c r="N52" s="28"/>
      <c r="O52" s="559" t="s">
        <v>521</v>
      </c>
      <c r="P52" s="28"/>
      <c r="Q52" s="44" t="s">
        <v>399</v>
      </c>
      <c r="R52" s="407">
        <f>U30</f>
        <v>764914</v>
      </c>
      <c r="S52" s="408" t="s">
        <v>6</v>
      </c>
      <c r="T52" s="409">
        <v>1.0699999999999999E-2</v>
      </c>
      <c r="U52" s="410">
        <f>ROUND(R52*T52,2)</f>
        <v>8184.58</v>
      </c>
    </row>
    <row r="53" spans="1:22" x14ac:dyDescent="0.25">
      <c r="A53" s="26"/>
      <c r="B53" s="81" t="s">
        <v>400</v>
      </c>
      <c r="C53" s="26"/>
      <c r="D53" s="26"/>
      <c r="E53" s="43"/>
      <c r="F53" s="399"/>
      <c r="G53" s="109"/>
      <c r="H53" s="400"/>
      <c r="I53" s="97">
        <f>SUM(I51:I52)</f>
        <v>218501.52000000002</v>
      </c>
      <c r="N53" s="28"/>
      <c r="O53" s="382" t="s">
        <v>400</v>
      </c>
      <c r="P53" s="28"/>
      <c r="Q53" s="44"/>
      <c r="R53" s="407"/>
      <c r="S53" s="408"/>
      <c r="T53" s="409"/>
      <c r="U53" s="401">
        <f>SUM(U51:U52)</f>
        <v>50943.270000000004</v>
      </c>
    </row>
    <row r="54" spans="1:22" x14ac:dyDescent="0.25">
      <c r="C54" s="3" t="str">
        <f>'1461'!C54</f>
        <v/>
      </c>
      <c r="D54" s="3" t="str">
        <f>'1461'!D54</f>
        <v/>
      </c>
      <c r="G54" s="42"/>
      <c r="H54" s="114"/>
      <c r="I54" s="114"/>
      <c r="N54" s="445"/>
      <c r="O54" s="51"/>
      <c r="P54" s="51" t="str">
        <f>'1461'!P54</f>
        <v/>
      </c>
      <c r="Q54" s="51" t="str">
        <f>'1461'!Q54</f>
        <v/>
      </c>
      <c r="R54" s="51"/>
      <c r="S54" s="51"/>
      <c r="T54" s="461"/>
      <c r="U54" s="462"/>
      <c r="V54" s="114"/>
    </row>
    <row r="55" spans="1:22" x14ac:dyDescent="0.25">
      <c r="A55" s="444"/>
      <c r="B55" s="444"/>
      <c r="C55" s="88" t="str">
        <f>'1461'!C55</f>
        <v>Oct 2023</v>
      </c>
      <c r="D55" s="332" t="str">
        <f>'1461'!D55</f>
        <v>Feb 2024</v>
      </c>
      <c r="E55" s="89" t="s">
        <v>8</v>
      </c>
      <c r="F55" s="46" t="s">
        <v>438</v>
      </c>
      <c r="G55" s="109" t="s">
        <v>439</v>
      </c>
      <c r="H55" s="453" t="s">
        <v>440</v>
      </c>
      <c r="I55" s="101"/>
      <c r="N55" s="447"/>
      <c r="O55" s="447"/>
      <c r="P55" s="463"/>
      <c r="Q55" s="464"/>
      <c r="R55" s="465"/>
      <c r="S55" s="467" t="s">
        <v>439</v>
      </c>
      <c r="T55" s="468" t="s">
        <v>440</v>
      </c>
      <c r="U55" s="466"/>
      <c r="V55" s="423"/>
    </row>
    <row r="56" spans="1:22" x14ac:dyDescent="0.25">
      <c r="A56" s="36" t="s">
        <v>441</v>
      </c>
      <c r="B56" s="36"/>
      <c r="C56" s="323" t="str">
        <f>'1461'!C56</f>
        <v>FTE</v>
      </c>
      <c r="D56" s="323" t="str">
        <f>'1461'!D56</f>
        <v>FTE</v>
      </c>
      <c r="E56" s="90" t="s">
        <v>2</v>
      </c>
      <c r="F56" s="438" t="s">
        <v>442</v>
      </c>
      <c r="G56" s="440" t="s">
        <v>442</v>
      </c>
      <c r="H56" s="454" t="s">
        <v>443</v>
      </c>
      <c r="I56" s="36"/>
      <c r="N56" s="458" t="s">
        <v>441</v>
      </c>
      <c r="O56" s="458"/>
      <c r="P56" s="635" t="s">
        <v>2</v>
      </c>
      <c r="Q56" s="635"/>
      <c r="R56" s="458" t="s">
        <v>447</v>
      </c>
      <c r="S56" s="449" t="s">
        <v>442</v>
      </c>
      <c r="T56" s="469" t="s">
        <v>443</v>
      </c>
      <c r="U56" s="458"/>
      <c r="V56" s="457"/>
    </row>
    <row r="57" spans="1:22" x14ac:dyDescent="0.25">
      <c r="A57" s="603" t="s">
        <v>445</v>
      </c>
      <c r="B57" s="603"/>
      <c r="C57" s="143">
        <v>0</v>
      </c>
      <c r="D57" s="143">
        <v>0</v>
      </c>
      <c r="E57" s="116">
        <f t="shared" ref="E57:E65" si="10">IF(D$72=0,C57*2,C57+D57)</f>
        <v>0</v>
      </c>
      <c r="F57" s="442" t="s">
        <v>437</v>
      </c>
      <c r="G57" s="442">
        <v>251</v>
      </c>
      <c r="H57" s="456">
        <f>'1461'!H57</f>
        <v>1047</v>
      </c>
      <c r="I57" s="101">
        <f>ROUND(E57*H57,2)</f>
        <v>0</v>
      </c>
      <c r="N57" s="633" t="s">
        <v>445</v>
      </c>
      <c r="O57" s="633"/>
      <c r="P57" s="636"/>
      <c r="Q57" s="636"/>
      <c r="R57" s="448" t="s">
        <v>437</v>
      </c>
      <c r="S57" s="448">
        <v>251</v>
      </c>
      <c r="T57" s="459">
        <f>H57</f>
        <v>1047</v>
      </c>
      <c r="U57" s="473">
        <f>ROUND(P57*T57,2)</f>
        <v>0</v>
      </c>
      <c r="V57" s="423"/>
    </row>
    <row r="58" spans="1:22" x14ac:dyDescent="0.25">
      <c r="A58" s="604"/>
      <c r="B58" s="604"/>
      <c r="C58" s="143">
        <v>0</v>
      </c>
      <c r="D58" s="143"/>
      <c r="E58" s="116">
        <f t="shared" si="10"/>
        <v>0</v>
      </c>
      <c r="F58" s="442" t="s">
        <v>437</v>
      </c>
      <c r="G58" s="442">
        <v>252</v>
      </c>
      <c r="H58" s="456">
        <f>'1461'!H58</f>
        <v>3380</v>
      </c>
      <c r="I58" s="101">
        <f t="shared" ref="I58:I65" si="11">ROUND(E58*H58,2)</f>
        <v>0</v>
      </c>
      <c r="N58" s="634"/>
      <c r="O58" s="634"/>
      <c r="P58" s="637"/>
      <c r="Q58" s="637"/>
      <c r="R58" s="448" t="s">
        <v>437</v>
      </c>
      <c r="S58" s="448">
        <v>252</v>
      </c>
      <c r="T58" s="459">
        <f t="shared" ref="T58:T65" si="12">H58</f>
        <v>3380</v>
      </c>
      <c r="U58" s="473">
        <f t="shared" ref="U58:U65" si="13">ROUND(P58*T58,2)</f>
        <v>0</v>
      </c>
      <c r="V58" s="423"/>
    </row>
    <row r="59" spans="1:22" x14ac:dyDescent="0.25">
      <c r="A59" s="604"/>
      <c r="B59" s="604"/>
      <c r="C59" s="143">
        <v>0</v>
      </c>
      <c r="D59" s="143">
        <v>0.5</v>
      </c>
      <c r="E59" s="116">
        <f t="shared" si="10"/>
        <v>0.5</v>
      </c>
      <c r="F59" s="442" t="s">
        <v>437</v>
      </c>
      <c r="G59" s="442">
        <v>253</v>
      </c>
      <c r="H59" s="456">
        <f>'1461'!H59</f>
        <v>6896</v>
      </c>
      <c r="I59" s="101">
        <f t="shared" si="11"/>
        <v>3448</v>
      </c>
      <c r="N59" s="634"/>
      <c r="O59" s="634"/>
      <c r="P59" s="637"/>
      <c r="Q59" s="637"/>
      <c r="R59" s="448" t="s">
        <v>437</v>
      </c>
      <c r="S59" s="448">
        <v>253</v>
      </c>
      <c r="T59" s="459">
        <f t="shared" si="12"/>
        <v>6896</v>
      </c>
      <c r="U59" s="473">
        <f t="shared" si="13"/>
        <v>0</v>
      </c>
      <c r="V59" s="423"/>
    </row>
    <row r="60" spans="1:22" x14ac:dyDescent="0.25">
      <c r="A60" s="604"/>
      <c r="B60" s="604"/>
      <c r="C60" s="143">
        <v>0</v>
      </c>
      <c r="D60" s="143">
        <v>0</v>
      </c>
      <c r="E60" s="116">
        <f t="shared" si="10"/>
        <v>0</v>
      </c>
      <c r="F60" s="443" t="s">
        <v>13</v>
      </c>
      <c r="G60" s="442">
        <v>251</v>
      </c>
      <c r="H60" s="456">
        <f>'1461'!H60</f>
        <v>1173</v>
      </c>
      <c r="I60" s="101">
        <f t="shared" si="11"/>
        <v>0</v>
      </c>
      <c r="N60" s="634"/>
      <c r="O60" s="634"/>
      <c r="P60" s="637"/>
      <c r="Q60" s="637"/>
      <c r="R60" s="40" t="s">
        <v>13</v>
      </c>
      <c r="S60" s="448">
        <v>251</v>
      </c>
      <c r="T60" s="459">
        <f t="shared" si="12"/>
        <v>1173</v>
      </c>
      <c r="U60" s="473">
        <f t="shared" si="13"/>
        <v>0</v>
      </c>
      <c r="V60" s="423"/>
    </row>
    <row r="61" spans="1:22" x14ac:dyDescent="0.25">
      <c r="A61" s="604"/>
      <c r="B61" s="604"/>
      <c r="C61" s="143">
        <v>0</v>
      </c>
      <c r="D61" s="143">
        <v>0</v>
      </c>
      <c r="E61" s="116">
        <f t="shared" si="10"/>
        <v>0</v>
      </c>
      <c r="F61" s="443" t="s">
        <v>13</v>
      </c>
      <c r="G61" s="442">
        <v>252</v>
      </c>
      <c r="H61" s="456">
        <f>'1461'!H61</f>
        <v>3506</v>
      </c>
      <c r="I61" s="101">
        <f t="shared" si="11"/>
        <v>0</v>
      </c>
      <c r="N61" s="634"/>
      <c r="O61" s="634"/>
      <c r="P61" s="637"/>
      <c r="Q61" s="637"/>
      <c r="R61" s="40" t="s">
        <v>13</v>
      </c>
      <c r="S61" s="448">
        <v>252</v>
      </c>
      <c r="T61" s="459">
        <f t="shared" si="12"/>
        <v>3506</v>
      </c>
      <c r="U61" s="473">
        <f t="shared" si="13"/>
        <v>0</v>
      </c>
      <c r="V61" s="423"/>
    </row>
    <row r="62" spans="1:22" x14ac:dyDescent="0.25">
      <c r="A62" s="604"/>
      <c r="B62" s="604"/>
      <c r="C62" s="143">
        <v>0</v>
      </c>
      <c r="D62" s="143">
        <v>0</v>
      </c>
      <c r="E62" s="116">
        <f t="shared" si="10"/>
        <v>0</v>
      </c>
      <c r="F62" s="443" t="s">
        <v>13</v>
      </c>
      <c r="G62" s="442">
        <v>253</v>
      </c>
      <c r="H62" s="456">
        <f>'1461'!H62</f>
        <v>7023</v>
      </c>
      <c r="I62" s="101">
        <f t="shared" si="11"/>
        <v>0</v>
      </c>
      <c r="N62" s="634"/>
      <c r="O62" s="634"/>
      <c r="P62" s="637"/>
      <c r="Q62" s="637"/>
      <c r="R62" s="40" t="s">
        <v>13</v>
      </c>
      <c r="S62" s="448">
        <v>253</v>
      </c>
      <c r="T62" s="459">
        <f t="shared" si="12"/>
        <v>7023</v>
      </c>
      <c r="U62" s="473">
        <f t="shared" si="13"/>
        <v>0</v>
      </c>
      <c r="V62" s="423"/>
    </row>
    <row r="63" spans="1:22" x14ac:dyDescent="0.25">
      <c r="A63" s="604"/>
      <c r="B63" s="604"/>
      <c r="C63" s="143">
        <v>0</v>
      </c>
      <c r="D63" s="143">
        <v>0</v>
      </c>
      <c r="E63" s="116">
        <f t="shared" si="10"/>
        <v>0</v>
      </c>
      <c r="F63" s="443" t="s">
        <v>14</v>
      </c>
      <c r="G63" s="442">
        <v>251</v>
      </c>
      <c r="H63" s="456">
        <f>'1461'!H63</f>
        <v>835</v>
      </c>
      <c r="I63" s="101">
        <f t="shared" si="11"/>
        <v>0</v>
      </c>
      <c r="N63" s="634"/>
      <c r="O63" s="634"/>
      <c r="P63" s="637"/>
      <c r="Q63" s="637"/>
      <c r="R63" s="40" t="s">
        <v>14</v>
      </c>
      <c r="S63" s="448">
        <v>251</v>
      </c>
      <c r="T63" s="459">
        <f t="shared" si="12"/>
        <v>835</v>
      </c>
      <c r="U63" s="473">
        <f t="shared" si="13"/>
        <v>0</v>
      </c>
      <c r="V63" s="423"/>
    </row>
    <row r="64" spans="1:22" x14ac:dyDescent="0.25">
      <c r="A64" s="604"/>
      <c r="B64" s="604"/>
      <c r="C64" s="143">
        <v>0</v>
      </c>
      <c r="D64" s="143">
        <v>0</v>
      </c>
      <c r="E64" s="116">
        <f t="shared" si="10"/>
        <v>0</v>
      </c>
      <c r="F64" s="443" t="s">
        <v>14</v>
      </c>
      <c r="G64" s="442">
        <v>252</v>
      </c>
      <c r="H64" s="456">
        <f>'1461'!H64</f>
        <v>3168</v>
      </c>
      <c r="I64" s="101">
        <f t="shared" si="11"/>
        <v>0</v>
      </c>
      <c r="N64" s="634"/>
      <c r="O64" s="634"/>
      <c r="P64" s="637"/>
      <c r="Q64" s="637"/>
      <c r="R64" s="40" t="s">
        <v>14</v>
      </c>
      <c r="S64" s="448">
        <v>252</v>
      </c>
      <c r="T64" s="459">
        <f t="shared" si="12"/>
        <v>3168</v>
      </c>
      <c r="U64" s="473">
        <f t="shared" si="13"/>
        <v>0</v>
      </c>
      <c r="V64" s="423"/>
    </row>
    <row r="65" spans="1:22" ht="16.5" thickBot="1" x14ac:dyDescent="0.3">
      <c r="A65" s="604"/>
      <c r="B65" s="604"/>
      <c r="C65" s="143">
        <v>0</v>
      </c>
      <c r="D65" s="143">
        <v>0</v>
      </c>
      <c r="E65" s="116">
        <f t="shared" si="10"/>
        <v>0</v>
      </c>
      <c r="F65" s="443" t="s">
        <v>14</v>
      </c>
      <c r="G65" s="442">
        <v>253</v>
      </c>
      <c r="H65" s="456">
        <f>'1461'!H65</f>
        <v>6685</v>
      </c>
      <c r="I65" s="101">
        <f t="shared" si="11"/>
        <v>0</v>
      </c>
      <c r="N65" s="634"/>
      <c r="O65" s="634"/>
      <c r="P65" s="638"/>
      <c r="Q65" s="638"/>
      <c r="R65" s="40" t="s">
        <v>14</v>
      </c>
      <c r="S65" s="448">
        <v>253</v>
      </c>
      <c r="T65" s="459">
        <f t="shared" si="12"/>
        <v>6685</v>
      </c>
      <c r="U65" s="474">
        <f t="shared" si="13"/>
        <v>0</v>
      </c>
      <c r="V65" s="423"/>
    </row>
    <row r="66" spans="1:22" ht="16.5" thickBot="1" x14ac:dyDescent="0.3">
      <c r="A66" s="439"/>
      <c r="C66" s="97">
        <f>SUM(C57:C65)</f>
        <v>0</v>
      </c>
      <c r="D66" s="97">
        <f>SUM(D57:D65)</f>
        <v>0.5</v>
      </c>
      <c r="E66" s="97">
        <f>SUM(E57:E65)</f>
        <v>0.5</v>
      </c>
      <c r="F66" s="605" t="s">
        <v>446</v>
      </c>
      <c r="G66" s="605"/>
      <c r="H66" s="605"/>
      <c r="I66" s="97">
        <f>SUM(I57:I65)</f>
        <v>3448</v>
      </c>
      <c r="N66" s="445"/>
      <c r="O66" s="51"/>
      <c r="P66" s="617">
        <f>SUM(P57:P65)</f>
        <v>0</v>
      </c>
      <c r="Q66" s="617"/>
      <c r="R66" s="618" t="s">
        <v>446</v>
      </c>
      <c r="S66" s="618"/>
      <c r="T66" s="618"/>
      <c r="U66" s="475">
        <f>SUM(U57:U65)</f>
        <v>0</v>
      </c>
      <c r="V66" s="423"/>
    </row>
    <row r="67" spans="1:22" x14ac:dyDescent="0.25">
      <c r="A67" s="439"/>
      <c r="C67" s="101"/>
      <c r="D67" s="101"/>
      <c r="E67" s="101"/>
      <c r="F67" s="444"/>
      <c r="G67" s="444"/>
      <c r="H67" s="444"/>
      <c r="I67" s="101"/>
      <c r="N67" s="445"/>
      <c r="O67" s="445"/>
      <c r="P67" s="445"/>
      <c r="Q67" s="445"/>
      <c r="R67" s="445"/>
      <c r="S67" s="445"/>
      <c r="T67" s="446"/>
      <c r="U67" s="446"/>
    </row>
    <row r="68" spans="1:22" x14ac:dyDescent="0.25">
      <c r="A68" s="441" t="s">
        <v>448</v>
      </c>
      <c r="N68" s="452" t="s">
        <v>456</v>
      </c>
      <c r="O68" s="51"/>
      <c r="P68" s="51"/>
      <c r="Q68" s="51"/>
      <c r="R68" s="51"/>
      <c r="S68" s="51"/>
      <c r="T68" s="51"/>
      <c r="U68" s="51"/>
    </row>
    <row r="69" spans="1:22" x14ac:dyDescent="0.25">
      <c r="A69" s="599" t="s">
        <v>401</v>
      </c>
      <c r="B69" s="593"/>
      <c r="C69" s="112">
        <f>E30</f>
        <v>137.86000000000001</v>
      </c>
      <c r="D69" s="580" t="s">
        <v>412</v>
      </c>
      <c r="E69" s="580"/>
      <c r="F69" s="580"/>
      <c r="G69" s="580"/>
      <c r="H69" s="299">
        <f>'1461'!H69</f>
        <v>210228.91</v>
      </c>
      <c r="I69" s="113"/>
      <c r="N69" s="615" t="s">
        <v>405</v>
      </c>
      <c r="O69" s="616"/>
      <c r="P69" s="41">
        <f>P30</f>
        <v>137.86000000000001</v>
      </c>
      <c r="Q69" s="621" t="s">
        <v>407</v>
      </c>
      <c r="R69" s="622"/>
      <c r="S69" s="622"/>
      <c r="T69" s="619">
        <f>H69</f>
        <v>210228.91</v>
      </c>
      <c r="U69" s="619"/>
    </row>
    <row r="70" spans="1:22" x14ac:dyDescent="0.25">
      <c r="B70" s="69"/>
      <c r="G70" s="42" t="s">
        <v>12</v>
      </c>
      <c r="H70" s="114">
        <f>ROUND(C69/H69,6)</f>
        <v>6.5600000000000001E-4</v>
      </c>
      <c r="I70" s="115"/>
      <c r="N70" s="616"/>
      <c r="O70" s="616"/>
      <c r="P70" s="616"/>
      <c r="Q70" s="616"/>
      <c r="R70" s="616"/>
      <c r="S70" s="616"/>
      <c r="T70" s="620">
        <f>ROUND(P69/T69,6)</f>
        <v>6.5600000000000001E-4</v>
      </c>
      <c r="U70" s="620"/>
    </row>
    <row r="71" spans="1:22" x14ac:dyDescent="0.25">
      <c r="A71" s="441" t="s">
        <v>449</v>
      </c>
      <c r="N71" s="452" t="s">
        <v>457</v>
      </c>
      <c r="O71" s="51"/>
      <c r="P71" s="51"/>
      <c r="Q71" s="51"/>
      <c r="R71" s="51"/>
      <c r="S71" s="51"/>
      <c r="T71" s="51"/>
      <c r="U71" s="51"/>
    </row>
    <row r="72" spans="1:22" x14ac:dyDescent="0.25">
      <c r="A72" s="599" t="s">
        <v>402</v>
      </c>
      <c r="B72" s="593"/>
      <c r="C72" s="112">
        <f>H30</f>
        <v>591.29729999999995</v>
      </c>
      <c r="D72" s="580" t="s">
        <v>413</v>
      </c>
      <c r="E72" s="580"/>
      <c r="F72" s="580"/>
      <c r="G72" s="580"/>
      <c r="H72" s="300">
        <f>'1461'!H72</f>
        <v>234891.44</v>
      </c>
      <c r="I72" s="116"/>
      <c r="N72" s="615" t="s">
        <v>406</v>
      </c>
      <c r="O72" s="616"/>
      <c r="P72" s="41">
        <f>T30</f>
        <v>137.85999999999999</v>
      </c>
      <c r="Q72" s="621" t="s">
        <v>408</v>
      </c>
      <c r="R72" s="622"/>
      <c r="S72" s="622"/>
      <c r="T72" s="619">
        <f>H72</f>
        <v>234891.44</v>
      </c>
      <c r="U72" s="619"/>
    </row>
    <row r="73" spans="1:22" x14ac:dyDescent="0.25">
      <c r="G73" s="42" t="s">
        <v>12</v>
      </c>
      <c r="H73" s="114">
        <f>ROUND(C72/H72,6)</f>
        <v>2.5170000000000001E-3</v>
      </c>
      <c r="I73" s="114"/>
      <c r="N73" s="616"/>
      <c r="O73" s="616"/>
      <c r="P73" s="616"/>
      <c r="Q73" s="616"/>
      <c r="R73" s="616"/>
      <c r="S73" s="616"/>
      <c r="T73" s="620">
        <f>ROUND(P72/T72,6)</f>
        <v>5.8699999999999996E-4</v>
      </c>
      <c r="U73" s="620"/>
    </row>
    <row r="74" spans="1:22" x14ac:dyDescent="0.25">
      <c r="A74" s="416" t="s">
        <v>450</v>
      </c>
      <c r="B74" s="413"/>
      <c r="C74" s="413"/>
      <c r="D74" s="413"/>
      <c r="E74" s="413"/>
      <c r="F74" s="413"/>
      <c r="G74" s="413"/>
      <c r="H74" s="413"/>
      <c r="I74" s="413"/>
      <c r="N74" s="415" t="s">
        <v>458</v>
      </c>
      <c r="O74" s="414"/>
      <c r="P74" s="414"/>
      <c r="Q74" s="414"/>
      <c r="R74" s="414"/>
      <c r="S74" s="414"/>
      <c r="T74" s="414"/>
      <c r="U74" s="414"/>
      <c r="V74" s="413"/>
    </row>
    <row r="75" spans="1:22" x14ac:dyDescent="0.25">
      <c r="A75" s="599" t="s">
        <v>403</v>
      </c>
      <c r="B75" s="593"/>
      <c r="C75" s="112">
        <f>E30</f>
        <v>137.86000000000001</v>
      </c>
      <c r="D75" s="572" t="s">
        <v>414</v>
      </c>
      <c r="E75" s="572"/>
      <c r="F75" s="572"/>
      <c r="G75" s="572"/>
      <c r="H75" s="299">
        <f>'1461'!H75</f>
        <v>187665.41</v>
      </c>
      <c r="I75" s="113"/>
      <c r="N75" s="615" t="s">
        <v>404</v>
      </c>
      <c r="O75" s="616"/>
      <c r="P75" s="41">
        <f>P30</f>
        <v>137.86000000000001</v>
      </c>
      <c r="Q75" s="651" t="s">
        <v>409</v>
      </c>
      <c r="R75" s="652"/>
      <c r="S75" s="652"/>
      <c r="T75" s="619">
        <f>H75</f>
        <v>187665.41</v>
      </c>
      <c r="U75" s="619"/>
    </row>
    <row r="76" spans="1:22" x14ac:dyDescent="0.25">
      <c r="B76" s="69"/>
      <c r="G76" s="42" t="s">
        <v>12</v>
      </c>
      <c r="H76" s="114">
        <f>ROUND(C75/H75,6)</f>
        <v>7.3499999999999998E-4</v>
      </c>
      <c r="I76" s="115"/>
      <c r="N76" s="616"/>
      <c r="O76" s="616"/>
      <c r="P76" s="616"/>
      <c r="Q76" s="616"/>
      <c r="R76" s="616"/>
      <c r="S76" s="616"/>
      <c r="T76" s="620">
        <f>ROUND(P75/T75,6)</f>
        <v>7.3499999999999998E-4</v>
      </c>
      <c r="U76" s="620"/>
    </row>
    <row r="77" spans="1:22" x14ac:dyDescent="0.25">
      <c r="A77" s="416" t="s">
        <v>451</v>
      </c>
      <c r="B77" s="413"/>
      <c r="C77" s="413"/>
      <c r="D77" s="413"/>
      <c r="E77" s="413"/>
      <c r="F77" s="413"/>
      <c r="G77" s="413"/>
      <c r="H77" s="413"/>
      <c r="I77" s="413"/>
      <c r="N77" s="415" t="s">
        <v>459</v>
      </c>
      <c r="O77" s="414"/>
      <c r="P77" s="414"/>
      <c r="Q77" s="414"/>
      <c r="R77" s="414"/>
      <c r="S77" s="414"/>
      <c r="T77" s="414"/>
      <c r="U77" s="414"/>
      <c r="V77" s="413"/>
    </row>
    <row r="78" spans="1:22" x14ac:dyDescent="0.25">
      <c r="A78" s="599" t="s">
        <v>403</v>
      </c>
      <c r="B78" s="593"/>
      <c r="C78" s="112">
        <f>E30</f>
        <v>137.86000000000001</v>
      </c>
      <c r="D78" s="600" t="s">
        <v>415</v>
      </c>
      <c r="E78" s="600"/>
      <c r="F78" s="600"/>
      <c r="G78" s="600"/>
      <c r="H78" s="299">
        <f>'1461'!H78</f>
        <v>209892.26</v>
      </c>
      <c r="I78" s="113"/>
      <c r="N78" s="615" t="s">
        <v>404</v>
      </c>
      <c r="O78" s="616"/>
      <c r="P78" s="41">
        <f>P30</f>
        <v>137.86000000000001</v>
      </c>
      <c r="Q78" s="649" t="s">
        <v>410</v>
      </c>
      <c r="R78" s="650"/>
      <c r="S78" s="650"/>
      <c r="T78" s="619">
        <f>H78</f>
        <v>209892.26</v>
      </c>
      <c r="U78" s="619"/>
    </row>
    <row r="79" spans="1:22" x14ac:dyDescent="0.25">
      <c r="B79" s="69"/>
      <c r="G79" s="42" t="s">
        <v>12</v>
      </c>
      <c r="H79" s="114">
        <f>ROUND(C78/H78,6)</f>
        <v>6.5700000000000003E-4</v>
      </c>
      <c r="I79" s="115"/>
      <c r="N79" s="616"/>
      <c r="O79" s="616"/>
      <c r="P79" s="616"/>
      <c r="Q79" s="616"/>
      <c r="R79" s="616"/>
      <c r="S79" s="616"/>
      <c r="T79" s="620">
        <f>ROUND(P78/T78,6)</f>
        <v>6.5700000000000003E-4</v>
      </c>
      <c r="U79" s="620"/>
    </row>
    <row r="80" spans="1:22" x14ac:dyDescent="0.25">
      <c r="A80" s="416" t="s">
        <v>452</v>
      </c>
      <c r="B80" s="413"/>
      <c r="C80" s="413"/>
      <c r="D80" s="413"/>
      <c r="E80" s="413"/>
      <c r="F80" s="413"/>
      <c r="G80" s="413"/>
      <c r="H80" s="413"/>
      <c r="I80" s="413"/>
      <c r="N80" s="415" t="s">
        <v>460</v>
      </c>
      <c r="O80" s="414"/>
      <c r="P80" s="414"/>
      <c r="Q80" s="414"/>
      <c r="R80" s="414"/>
      <c r="S80" s="414"/>
      <c r="T80" s="414"/>
      <c r="U80" s="414"/>
      <c r="V80" s="413"/>
    </row>
    <row r="81" spans="1:21" x14ac:dyDescent="0.25">
      <c r="A81" s="599" t="s">
        <v>411</v>
      </c>
      <c r="B81" s="593"/>
      <c r="C81" s="112">
        <f>E30</f>
        <v>137.86000000000001</v>
      </c>
      <c r="D81" s="572" t="s">
        <v>416</v>
      </c>
      <c r="E81" s="572"/>
      <c r="F81" s="572"/>
      <c r="G81" s="572"/>
      <c r="H81" s="299">
        <f>'1461'!H81</f>
        <v>187328.76</v>
      </c>
      <c r="I81" s="113"/>
      <c r="N81" s="615" t="s">
        <v>417</v>
      </c>
      <c r="O81" s="616"/>
      <c r="P81" s="41">
        <f>P30</f>
        <v>137.86000000000001</v>
      </c>
      <c r="Q81" s="651" t="s">
        <v>418</v>
      </c>
      <c r="R81" s="652"/>
      <c r="S81" s="652"/>
      <c r="T81" s="619">
        <f>H81</f>
        <v>187328.76</v>
      </c>
      <c r="U81" s="619"/>
    </row>
    <row r="82" spans="1:21" x14ac:dyDescent="0.25">
      <c r="B82" s="69"/>
      <c r="G82" s="42" t="s">
        <v>12</v>
      </c>
      <c r="H82" s="114">
        <f>ROUND(C81/H81,6)</f>
        <v>7.36E-4</v>
      </c>
      <c r="I82" s="115"/>
      <c r="N82" s="616"/>
      <c r="O82" s="616"/>
      <c r="P82" s="616"/>
      <c r="Q82" s="616"/>
      <c r="R82" s="616"/>
      <c r="S82" s="616"/>
      <c r="T82" s="620">
        <f>ROUND(P81/T81,6)</f>
        <v>7.36E-4</v>
      </c>
      <c r="U82" s="620"/>
    </row>
    <row r="83" spans="1:21" x14ac:dyDescent="0.25">
      <c r="A83" s="439"/>
      <c r="G83" s="42"/>
      <c r="H83" s="114"/>
      <c r="I83" s="114"/>
      <c r="N83" s="445"/>
      <c r="O83" s="445"/>
      <c r="P83" s="445"/>
      <c r="Q83" s="445"/>
      <c r="R83" s="445"/>
      <c r="S83" s="445"/>
      <c r="T83" s="446"/>
      <c r="U83" s="446"/>
    </row>
    <row r="84" spans="1:21" x14ac:dyDescent="0.25">
      <c r="A84" s="439"/>
      <c r="G84" s="42"/>
      <c r="H84" s="114"/>
      <c r="I84" s="114"/>
      <c r="N84" s="445"/>
      <c r="O84" s="445"/>
      <c r="P84" s="445"/>
      <c r="Q84" s="445"/>
      <c r="R84" s="445"/>
      <c r="S84" s="445"/>
      <c r="T84" s="446"/>
      <c r="U84" s="446"/>
    </row>
    <row r="85" spans="1:21" x14ac:dyDescent="0.25">
      <c r="A85" s="441" t="s">
        <v>453</v>
      </c>
      <c r="D85" s="69"/>
      <c r="E85" s="43" t="s">
        <v>299</v>
      </c>
      <c r="F85" s="301">
        <f>'1461'!F85</f>
        <v>46163704</v>
      </c>
      <c r="G85" s="37" t="s">
        <v>6</v>
      </c>
      <c r="H85" s="421">
        <f>H79</f>
        <v>6.5700000000000003E-4</v>
      </c>
      <c r="I85" s="101">
        <f>ROUND(F85*H85,2)</f>
        <v>30329.55</v>
      </c>
      <c r="N85" s="452" t="s">
        <v>453</v>
      </c>
      <c r="O85" s="51"/>
      <c r="P85" s="51"/>
      <c r="Q85" s="44"/>
      <c r="R85" s="418">
        <f>F85</f>
        <v>46163704</v>
      </c>
      <c r="S85" s="38" t="s">
        <v>6</v>
      </c>
      <c r="T85" s="420">
        <f>T79</f>
        <v>6.5700000000000003E-4</v>
      </c>
      <c r="U85" s="472">
        <f>ROUND(R85*T85,2)</f>
        <v>30329.55</v>
      </c>
    </row>
    <row r="86" spans="1:21" x14ac:dyDescent="0.25">
      <c r="A86" s="398"/>
      <c r="D86" s="69"/>
      <c r="E86" s="43"/>
      <c r="F86" s="117"/>
      <c r="G86" s="37"/>
      <c r="H86" s="421"/>
      <c r="I86" s="101"/>
      <c r="N86" s="51"/>
      <c r="O86" s="51"/>
      <c r="P86" s="51"/>
      <c r="Q86" s="44"/>
      <c r="R86" s="419"/>
      <c r="S86" s="38"/>
      <c r="T86" s="420"/>
      <c r="U86" s="476"/>
    </row>
    <row r="87" spans="1:21" x14ac:dyDescent="0.25">
      <c r="A87" s="602" t="s">
        <v>71</v>
      </c>
      <c r="B87" s="593"/>
      <c r="C87" s="593"/>
      <c r="D87" s="69"/>
      <c r="E87" s="43"/>
      <c r="F87" s="117"/>
      <c r="G87" s="37"/>
      <c r="H87" s="421"/>
      <c r="I87" s="101"/>
      <c r="N87" s="615" t="s">
        <v>461</v>
      </c>
      <c r="O87" s="616"/>
      <c r="P87" s="616"/>
      <c r="Q87" s="51"/>
      <c r="R87" s="419"/>
      <c r="S87" s="51"/>
      <c r="T87" s="38"/>
      <c r="U87" s="477"/>
    </row>
    <row r="88" spans="1:21" x14ac:dyDescent="0.25">
      <c r="A88" s="602" t="s">
        <v>99</v>
      </c>
      <c r="B88" s="593"/>
      <c r="C88" s="593"/>
      <c r="D88" s="69"/>
      <c r="E88" s="43" t="s">
        <v>3</v>
      </c>
      <c r="F88" s="301">
        <f>'1461'!F88</f>
        <v>0</v>
      </c>
      <c r="G88" s="37" t="s">
        <v>6</v>
      </c>
      <c r="H88" s="421">
        <f>H70</f>
        <v>6.5600000000000001E-4</v>
      </c>
      <c r="I88" s="101">
        <f>ROUND(F88*H88,2)</f>
        <v>0</v>
      </c>
      <c r="N88" s="653" t="s">
        <v>99</v>
      </c>
      <c r="O88" s="616"/>
      <c r="P88" s="616"/>
      <c r="Q88" s="44"/>
      <c r="R88" s="418">
        <f>F88</f>
        <v>0</v>
      </c>
      <c r="S88" s="38" t="s">
        <v>6</v>
      </c>
      <c r="T88" s="420">
        <f>T70</f>
        <v>6.5600000000000001E-4</v>
      </c>
      <c r="U88" s="472">
        <f>ROUND(R88*T88,2)</f>
        <v>0</v>
      </c>
    </row>
    <row r="89" spans="1:21" x14ac:dyDescent="0.25">
      <c r="A89" s="430"/>
      <c r="B89" s="69"/>
      <c r="C89" s="69"/>
      <c r="D89" s="69"/>
      <c r="E89" s="43"/>
      <c r="F89" s="117"/>
      <c r="G89" s="37"/>
      <c r="H89" s="421"/>
      <c r="I89" s="101"/>
      <c r="N89" s="433"/>
      <c r="O89" s="45"/>
      <c r="P89" s="45"/>
      <c r="Q89" s="44"/>
      <c r="R89" s="418"/>
      <c r="S89" s="38"/>
      <c r="T89" s="420"/>
      <c r="U89" s="472"/>
    </row>
    <row r="90" spans="1:21" x14ac:dyDescent="0.25">
      <c r="A90" s="450" t="s">
        <v>454</v>
      </c>
      <c r="D90" s="69"/>
      <c r="E90" s="43" t="s">
        <v>419</v>
      </c>
      <c r="F90" s="301">
        <f>'1461'!F90</f>
        <v>19042026</v>
      </c>
      <c r="G90" s="37" t="s">
        <v>6</v>
      </c>
      <c r="H90" s="421">
        <f>H82</f>
        <v>7.36E-4</v>
      </c>
      <c r="I90" s="101">
        <f>ROUND(F90*H90,2)</f>
        <v>14014.93</v>
      </c>
      <c r="N90" s="452" t="s">
        <v>454</v>
      </c>
      <c r="O90" s="51"/>
      <c r="P90" s="51"/>
      <c r="Q90" s="44"/>
      <c r="R90" s="418">
        <f>F90</f>
        <v>19042026</v>
      </c>
      <c r="S90" s="38" t="s">
        <v>6</v>
      </c>
      <c r="T90" s="420">
        <f>T82</f>
        <v>7.36E-4</v>
      </c>
      <c r="U90" s="472">
        <f>ROUND(R90*T90,2)</f>
        <v>14014.93</v>
      </c>
    </row>
    <row r="91" spans="1:21" x14ac:dyDescent="0.25">
      <c r="A91" s="398"/>
      <c r="D91" s="69"/>
      <c r="E91" s="43"/>
      <c r="F91" s="117"/>
      <c r="G91" s="37"/>
      <c r="H91" s="421"/>
      <c r="I91" s="101"/>
      <c r="N91" s="406"/>
      <c r="O91" s="51"/>
      <c r="P91" s="51"/>
      <c r="Q91" s="44"/>
      <c r="R91" s="418"/>
      <c r="S91" s="38"/>
      <c r="T91" s="420"/>
      <c r="U91" s="472"/>
    </row>
    <row r="92" spans="1:21" x14ac:dyDescent="0.25">
      <c r="A92" s="450" t="s">
        <v>455</v>
      </c>
      <c r="D92" s="69"/>
      <c r="E92" s="43" t="s">
        <v>3</v>
      </c>
      <c r="F92" s="301">
        <f>'1461'!F92</f>
        <v>11441151</v>
      </c>
      <c r="G92" s="37" t="s">
        <v>6</v>
      </c>
      <c r="H92" s="421">
        <f>H76</f>
        <v>7.3499999999999998E-4</v>
      </c>
      <c r="I92" s="101">
        <f t="shared" ref="I92:I96" si="14">ROUND(F92*H92,2)</f>
        <v>8409.25</v>
      </c>
      <c r="N92" s="452" t="s">
        <v>455</v>
      </c>
      <c r="O92" s="51"/>
      <c r="P92" s="51"/>
      <c r="Q92" s="44"/>
      <c r="R92" s="418">
        <f t="shared" ref="R92:R96" si="15">F92</f>
        <v>11441151</v>
      </c>
      <c r="S92" s="38" t="s">
        <v>6</v>
      </c>
      <c r="T92" s="420">
        <f>T76</f>
        <v>7.3499999999999998E-4</v>
      </c>
      <c r="U92" s="472">
        <f>ROUND(R92*T92,2)</f>
        <v>8409.25</v>
      </c>
    </row>
    <row r="93" spans="1:21" x14ac:dyDescent="0.25">
      <c r="A93" s="81"/>
      <c r="D93" s="69"/>
      <c r="E93" s="43"/>
      <c r="F93" s="117"/>
      <c r="G93" s="37"/>
      <c r="H93" s="421"/>
      <c r="I93" s="101"/>
      <c r="N93" s="382"/>
      <c r="O93" s="51"/>
      <c r="P93" s="51"/>
      <c r="Q93" s="44"/>
      <c r="R93" s="419"/>
      <c r="S93" s="38"/>
      <c r="T93" s="420"/>
      <c r="U93" s="476"/>
    </row>
    <row r="94" spans="1:21" x14ac:dyDescent="0.25">
      <c r="A94" s="599" t="s">
        <v>420</v>
      </c>
      <c r="B94" s="593"/>
      <c r="C94" s="593"/>
      <c r="D94" s="69"/>
      <c r="E94" s="43" t="s">
        <v>4</v>
      </c>
      <c r="F94" s="301">
        <f>'1461'!F94</f>
        <v>255756816</v>
      </c>
      <c r="G94" s="37" t="s">
        <v>6</v>
      </c>
      <c r="H94" s="421">
        <f>H73</f>
        <v>2.5170000000000001E-3</v>
      </c>
      <c r="I94" s="101">
        <f t="shared" si="14"/>
        <v>643739.91</v>
      </c>
      <c r="N94" s="616" t="s">
        <v>420</v>
      </c>
      <c r="O94" s="616"/>
      <c r="P94" s="616"/>
      <c r="Q94" s="44"/>
      <c r="R94" s="418">
        <f t="shared" si="15"/>
        <v>255756816</v>
      </c>
      <c r="S94" s="38" t="s">
        <v>6</v>
      </c>
      <c r="T94" s="420">
        <f>T73</f>
        <v>5.8699999999999996E-4</v>
      </c>
      <c r="U94" s="472">
        <f>ROUND(R94*T94,2)</f>
        <v>150129.25</v>
      </c>
    </row>
    <row r="95" spans="1:21" x14ac:dyDescent="0.25">
      <c r="A95" s="81"/>
      <c r="B95" s="69"/>
      <c r="C95" s="69"/>
      <c r="D95" s="69"/>
      <c r="E95" s="43"/>
      <c r="F95" s="117"/>
      <c r="G95" s="37"/>
      <c r="H95" s="421"/>
      <c r="I95" s="101"/>
      <c r="N95" s="45"/>
      <c r="O95" s="45"/>
      <c r="P95" s="45"/>
      <c r="Q95" s="44"/>
      <c r="R95" s="418"/>
      <c r="S95" s="38"/>
      <c r="T95" s="420"/>
      <c r="U95" s="472"/>
    </row>
    <row r="96" spans="1:21" x14ac:dyDescent="0.25">
      <c r="A96" s="599" t="s">
        <v>421</v>
      </c>
      <c r="B96" s="593"/>
      <c r="C96" s="593"/>
      <c r="D96" s="69"/>
      <c r="E96" s="43" t="s">
        <v>4</v>
      </c>
      <c r="F96" s="301">
        <f>'1461'!F96</f>
        <v>-1585559</v>
      </c>
      <c r="G96" s="37" t="s">
        <v>6</v>
      </c>
      <c r="H96" s="421">
        <f>H73</f>
        <v>2.5170000000000001E-3</v>
      </c>
      <c r="I96" s="101">
        <f t="shared" si="14"/>
        <v>-3990.85</v>
      </c>
      <c r="N96" s="615" t="s">
        <v>421</v>
      </c>
      <c r="O96" s="616"/>
      <c r="P96" s="616"/>
      <c r="Q96" s="44"/>
      <c r="R96" s="418">
        <f t="shared" si="15"/>
        <v>-1585559</v>
      </c>
      <c r="S96" s="38" t="s">
        <v>6</v>
      </c>
      <c r="T96" s="420">
        <f>T73</f>
        <v>5.8699999999999996E-4</v>
      </c>
      <c r="U96" s="472">
        <f>ROUND(R96*T96,2)</f>
        <v>-930.72</v>
      </c>
    </row>
    <row r="97" spans="1:21" x14ac:dyDescent="0.25">
      <c r="A97" s="529"/>
      <c r="B97" s="528"/>
      <c r="C97" s="528"/>
      <c r="D97" s="528"/>
      <c r="E97" s="526"/>
      <c r="F97" s="117"/>
      <c r="G97" s="527"/>
      <c r="H97" s="421"/>
      <c r="I97" s="101"/>
      <c r="N97" s="532"/>
      <c r="O97" s="531"/>
      <c r="P97" s="531"/>
      <c r="Q97" s="44"/>
      <c r="R97" s="534"/>
      <c r="S97" s="533"/>
      <c r="T97" s="420"/>
      <c r="U97" s="476"/>
    </row>
    <row r="98" spans="1:21" x14ac:dyDescent="0.25">
      <c r="A98" s="529" t="s">
        <v>495</v>
      </c>
      <c r="B98" s="528"/>
      <c r="C98" s="528"/>
      <c r="D98" s="528"/>
      <c r="E98" s="526" t="s">
        <v>3</v>
      </c>
      <c r="F98" s="289">
        <v>0</v>
      </c>
      <c r="G98" s="527" t="s">
        <v>6</v>
      </c>
      <c r="H98" s="421">
        <f>H70</f>
        <v>6.5600000000000001E-4</v>
      </c>
      <c r="I98" s="101">
        <f t="shared" ref="I98" si="16">ROUND(F98*H98,2)</f>
        <v>0</v>
      </c>
      <c r="N98" s="532" t="s">
        <v>495</v>
      </c>
      <c r="O98" s="532"/>
      <c r="P98" s="532"/>
      <c r="Q98" s="44"/>
      <c r="R98" s="535">
        <f>F98</f>
        <v>0</v>
      </c>
      <c r="S98" s="533" t="s">
        <v>6</v>
      </c>
      <c r="T98" s="420">
        <f>T70</f>
        <v>6.5600000000000001E-4</v>
      </c>
      <c r="U98" s="472">
        <f>ROUND(R98*T98,2)</f>
        <v>0</v>
      </c>
    </row>
    <row r="99" spans="1:21" x14ac:dyDescent="0.25">
      <c r="A99" s="529"/>
      <c r="B99" s="528"/>
      <c r="C99" s="528"/>
      <c r="D99" s="528"/>
      <c r="E99" s="526"/>
      <c r="F99" s="275"/>
      <c r="G99" s="527"/>
      <c r="H99" s="421"/>
      <c r="I99" s="101"/>
      <c r="N99" s="532"/>
      <c r="O99" s="532"/>
      <c r="P99" s="532"/>
      <c r="Q99" s="44"/>
      <c r="R99" s="534"/>
      <c r="S99" s="533"/>
      <c r="T99" s="420"/>
      <c r="U99" s="476"/>
    </row>
    <row r="100" spans="1:21" x14ac:dyDescent="0.25">
      <c r="A100" s="529"/>
      <c r="B100" s="528"/>
      <c r="C100" s="528"/>
      <c r="D100" s="528"/>
      <c r="E100" s="526"/>
      <c r="F100" s="275"/>
      <c r="G100" s="527"/>
      <c r="H100" s="421"/>
      <c r="I100" s="101"/>
      <c r="N100" s="532"/>
      <c r="O100" s="532"/>
      <c r="P100" s="532"/>
      <c r="Q100" s="44"/>
      <c r="R100" s="419"/>
      <c r="S100" s="533"/>
      <c r="T100" s="420"/>
      <c r="U100" s="103"/>
    </row>
    <row r="101" spans="1:21" x14ac:dyDescent="0.25">
      <c r="A101" s="398" t="s">
        <v>496</v>
      </c>
      <c r="N101" s="406" t="s">
        <v>496</v>
      </c>
      <c r="O101" s="51"/>
      <c r="P101" s="51"/>
      <c r="Q101" s="51"/>
      <c r="R101" s="51"/>
      <c r="S101" s="51"/>
      <c r="T101" s="51"/>
      <c r="U101" s="51"/>
    </row>
    <row r="102" spans="1:21" x14ac:dyDescent="0.25">
      <c r="B102" s="69"/>
      <c r="C102" s="578" t="s">
        <v>60</v>
      </c>
      <c r="D102" s="578"/>
      <c r="E102" s="69"/>
      <c r="F102" s="39" t="s">
        <v>28</v>
      </c>
      <c r="G102" s="69"/>
      <c r="H102" s="69"/>
      <c r="I102" s="69"/>
      <c r="N102" s="45"/>
      <c r="O102" s="45"/>
      <c r="P102" s="45"/>
      <c r="Q102" s="45"/>
      <c r="R102" s="45"/>
      <c r="S102" s="45"/>
      <c r="T102" s="45"/>
      <c r="U102" s="45"/>
    </row>
    <row r="103" spans="1:21" x14ac:dyDescent="0.25">
      <c r="A103" s="3"/>
      <c r="B103" s="118"/>
      <c r="C103" s="579" t="s">
        <v>101</v>
      </c>
      <c r="D103" s="579"/>
      <c r="E103" s="422" t="s">
        <v>424</v>
      </c>
      <c r="F103" s="120" t="s">
        <v>106</v>
      </c>
      <c r="G103" s="121"/>
      <c r="H103" s="121"/>
      <c r="I103" s="121"/>
      <c r="N103" s="646" t="s">
        <v>35</v>
      </c>
      <c r="O103" s="646"/>
      <c r="P103" s="687" t="s">
        <v>426</v>
      </c>
      <c r="Q103" s="648"/>
      <c r="R103" s="619" t="s">
        <v>31</v>
      </c>
      <c r="S103" s="619"/>
      <c r="T103" s="619"/>
      <c r="U103" s="619"/>
    </row>
    <row r="104" spans="1:21" x14ac:dyDescent="0.25">
      <c r="A104" s="26"/>
      <c r="B104" s="52" t="s">
        <v>105</v>
      </c>
      <c r="C104" s="611">
        <f>H14+H15+H20+H23+H26</f>
        <v>297.91989999999998</v>
      </c>
      <c r="D104" s="611"/>
      <c r="E104" s="46">
        <f>H8</f>
        <v>1.0407999999999999</v>
      </c>
      <c r="F104" s="302">
        <f>'1461'!F104</f>
        <v>950.92</v>
      </c>
      <c r="G104" s="39" t="s">
        <v>12</v>
      </c>
      <c r="H104" s="101">
        <f>ROUND(C104*E104*F104,2)</f>
        <v>294856.55</v>
      </c>
      <c r="I104" s="104"/>
      <c r="N104" s="28" t="s">
        <v>17</v>
      </c>
      <c r="O104" s="47">
        <f>T14+T15+T20+T23+T26</f>
        <v>71.28</v>
      </c>
      <c r="P104" s="626">
        <f>T8</f>
        <v>1.0407999999999999</v>
      </c>
      <c r="Q104" s="626"/>
      <c r="R104" s="48">
        <f>F104</f>
        <v>950.92</v>
      </c>
      <c r="S104" s="40" t="s">
        <v>12</v>
      </c>
      <c r="T104" s="478">
        <f>ROUND(O104*P104*R104,2)</f>
        <v>70547.070000000007</v>
      </c>
      <c r="U104" s="102"/>
    </row>
    <row r="105" spans="1:21" x14ac:dyDescent="0.25">
      <c r="A105" s="49"/>
      <c r="B105" s="49" t="s">
        <v>104</v>
      </c>
      <c r="C105" s="611">
        <f>H16+H17+H21+H24+H27</f>
        <v>293.37740000000002</v>
      </c>
      <c r="D105" s="611"/>
      <c r="E105" s="46">
        <f>H8</f>
        <v>1.0407999999999999</v>
      </c>
      <c r="F105" s="302">
        <f>'1461'!F105</f>
        <v>907.92</v>
      </c>
      <c r="G105" s="39" t="s">
        <v>12</v>
      </c>
      <c r="H105" s="101">
        <f>ROUND(C105*E105*F105,2)</f>
        <v>277230.83</v>
      </c>
      <c r="N105" s="50" t="s">
        <v>13</v>
      </c>
      <c r="O105" s="47">
        <f>T16+T17+T21+T24+T27</f>
        <v>66.58</v>
      </c>
      <c r="P105" s="626">
        <f>T8</f>
        <v>1.0407999999999999</v>
      </c>
      <c r="Q105" s="626"/>
      <c r="R105" s="48">
        <f>F105</f>
        <v>907.92</v>
      </c>
      <c r="S105" s="40" t="s">
        <v>12</v>
      </c>
      <c r="T105" s="478">
        <f>ROUND(O105*P105*R105,2)</f>
        <v>62915.65</v>
      </c>
      <c r="U105" s="51"/>
    </row>
    <row r="106" spans="1:21" ht="16.5" thickBot="1" x14ac:dyDescent="0.3">
      <c r="A106" s="52"/>
      <c r="B106" s="52" t="s">
        <v>103</v>
      </c>
      <c r="C106" s="611">
        <f>H18+H19+H22+H25+H28+H29</f>
        <v>0</v>
      </c>
      <c r="D106" s="611"/>
      <c r="E106" s="46">
        <f>H8</f>
        <v>1.0407999999999999</v>
      </c>
      <c r="F106" s="302">
        <f>'1461'!F106</f>
        <v>910.12</v>
      </c>
      <c r="G106" s="39" t="s">
        <v>12</v>
      </c>
      <c r="H106" s="94">
        <f>ROUND(C106*E106*F106,2)</f>
        <v>0</v>
      </c>
      <c r="N106" s="53" t="s">
        <v>14</v>
      </c>
      <c r="O106" s="54">
        <f>T18+T19+T22+T25+T28+T29</f>
        <v>0</v>
      </c>
      <c r="P106" s="626">
        <f>T8</f>
        <v>1.0407999999999999</v>
      </c>
      <c r="Q106" s="626"/>
      <c r="R106" s="48">
        <f>F106</f>
        <v>910.12</v>
      </c>
      <c r="S106" s="40" t="s">
        <v>12</v>
      </c>
      <c r="T106" s="478">
        <f>ROUND(O106*P106*R106,2)</f>
        <v>0</v>
      </c>
      <c r="U106" s="51"/>
    </row>
    <row r="107" spans="1:21" ht="16.5" thickBot="1" x14ac:dyDescent="0.3">
      <c r="A107" s="55"/>
      <c r="B107" s="122" t="s">
        <v>102</v>
      </c>
      <c r="C107" s="601">
        <f>SUM(C104:C106)</f>
        <v>591.29729999999995</v>
      </c>
      <c r="D107" s="601"/>
      <c r="E107" s="123"/>
      <c r="F107" s="123"/>
      <c r="G107" s="123"/>
      <c r="H107" s="124" t="s">
        <v>100</v>
      </c>
      <c r="I107" s="101">
        <f>IF(A1=75,0,H106+H105+H104)</f>
        <v>572087.38</v>
      </c>
      <c r="N107" s="56" t="s">
        <v>89</v>
      </c>
      <c r="O107" s="57">
        <f>SUM(O104:O106)</f>
        <v>137.86000000000001</v>
      </c>
      <c r="P107" s="627" t="s">
        <v>16</v>
      </c>
      <c r="Q107" s="628"/>
      <c r="R107" s="628"/>
      <c r="S107" s="628"/>
      <c r="T107" s="628"/>
      <c r="U107" s="472">
        <f>IF(N1=75,0,T106+T105+T104)</f>
        <v>133462.72</v>
      </c>
    </row>
    <row r="108" spans="1:21" ht="16.5" thickTop="1" x14ac:dyDescent="0.25">
      <c r="A108" s="570" t="s">
        <v>65</v>
      </c>
      <c r="B108" s="570"/>
      <c r="C108" s="570"/>
      <c r="D108" s="570"/>
      <c r="E108" s="570"/>
      <c r="F108" s="570"/>
      <c r="G108" s="570"/>
      <c r="H108" s="570"/>
      <c r="I108" s="570"/>
      <c r="N108" s="629" t="s">
        <v>65</v>
      </c>
      <c r="O108" s="629"/>
      <c r="P108" s="629"/>
      <c r="Q108" s="629"/>
      <c r="R108" s="629"/>
      <c r="S108" s="629"/>
      <c r="T108" s="629"/>
      <c r="U108" s="629"/>
    </row>
    <row r="109" spans="1:21" x14ac:dyDescent="0.25">
      <c r="A109" s="431"/>
      <c r="B109" s="431"/>
      <c r="C109" s="431"/>
      <c r="D109" s="431"/>
      <c r="E109" s="431"/>
      <c r="F109" s="431"/>
      <c r="G109" s="431"/>
      <c r="H109" s="431"/>
      <c r="I109" s="431"/>
      <c r="N109" s="432"/>
      <c r="O109" s="432"/>
      <c r="P109" s="432"/>
      <c r="Q109" s="432"/>
      <c r="R109" s="432"/>
      <c r="S109" s="432"/>
      <c r="T109" s="432"/>
      <c r="U109" s="432"/>
    </row>
    <row r="110" spans="1:21" x14ac:dyDescent="0.25">
      <c r="A110" s="529" t="s">
        <v>497</v>
      </c>
      <c r="C110" s="43"/>
      <c r="D110" s="69"/>
      <c r="E110" s="43" t="s">
        <v>32</v>
      </c>
      <c r="F110" s="571"/>
      <c r="G110" s="571"/>
      <c r="H110" s="571"/>
      <c r="I110" s="571"/>
      <c r="N110" s="615" t="s">
        <v>497</v>
      </c>
      <c r="O110" s="616"/>
      <c r="P110" s="616"/>
      <c r="Q110" s="630"/>
      <c r="R110" s="630"/>
      <c r="S110" s="630"/>
      <c r="T110" s="630"/>
      <c r="U110" s="103"/>
    </row>
    <row r="111" spans="1:21" x14ac:dyDescent="0.25">
      <c r="B111" s="69"/>
      <c r="C111" s="88" t="s">
        <v>492</v>
      </c>
      <c r="D111" s="332" t="s">
        <v>493</v>
      </c>
      <c r="E111" s="89" t="s">
        <v>107</v>
      </c>
      <c r="F111" s="43"/>
      <c r="G111" s="43"/>
      <c r="H111" s="43"/>
      <c r="I111" s="43"/>
      <c r="N111" s="45"/>
      <c r="O111" s="45"/>
      <c r="P111" s="45"/>
      <c r="Q111" s="125"/>
      <c r="R111" s="125"/>
      <c r="S111" s="125"/>
      <c r="T111" s="125"/>
      <c r="U111" s="103"/>
    </row>
    <row r="112" spans="1:21" x14ac:dyDescent="0.25">
      <c r="B112" s="69"/>
      <c r="C112" s="323" t="s">
        <v>2</v>
      </c>
      <c r="D112" s="323" t="s">
        <v>2</v>
      </c>
      <c r="E112" s="323" t="s">
        <v>2</v>
      </c>
      <c r="F112" s="43"/>
      <c r="G112" s="43"/>
      <c r="H112" s="43"/>
      <c r="I112" s="43"/>
      <c r="N112" s="45"/>
      <c r="O112" s="45"/>
      <c r="P112" s="45"/>
      <c r="Q112" s="125"/>
      <c r="R112" s="125"/>
      <c r="S112" s="125"/>
      <c r="T112" s="125"/>
      <c r="U112" s="103"/>
    </row>
    <row r="113" spans="1:21" x14ac:dyDescent="0.25">
      <c r="A113" s="572" t="s">
        <v>381</v>
      </c>
      <c r="B113" s="573"/>
      <c r="C113" s="143">
        <v>0</v>
      </c>
      <c r="D113" s="143">
        <v>0</v>
      </c>
      <c r="E113" s="116">
        <f>(C113+D113)/2</f>
        <v>0</v>
      </c>
      <c r="F113" s="126" t="s">
        <v>30</v>
      </c>
      <c r="G113" s="303">
        <f>'1461'!G113</f>
        <v>567</v>
      </c>
      <c r="I113" s="101">
        <f>ROUND(G113*E113,2)</f>
        <v>0</v>
      </c>
      <c r="N113" s="645" t="s">
        <v>52</v>
      </c>
      <c r="O113" s="645"/>
      <c r="P113" s="625">
        <f>IF(H133=1,E113,0)</f>
        <v>0</v>
      </c>
      <c r="Q113" s="625"/>
      <c r="R113" s="625"/>
      <c r="S113" s="83" t="s">
        <v>30</v>
      </c>
      <c r="T113" s="58">
        <f>G113</f>
        <v>567</v>
      </c>
      <c r="U113" s="472">
        <f>ROUND(T113*P113,2)</f>
        <v>0</v>
      </c>
    </row>
    <row r="114" spans="1:21" x14ac:dyDescent="0.25">
      <c r="A114" s="572" t="s">
        <v>382</v>
      </c>
      <c r="B114" s="573"/>
      <c r="C114" s="143">
        <v>0</v>
      </c>
      <c r="D114" s="143">
        <v>1</v>
      </c>
      <c r="E114" s="116">
        <f>(C114+D114)/2</f>
        <v>0.5</v>
      </c>
      <c r="F114" s="126" t="s">
        <v>30</v>
      </c>
      <c r="G114" s="303">
        <f>'1461'!G114</f>
        <v>1821</v>
      </c>
      <c r="I114" s="101">
        <f>ROUND(G114*E114,2)</f>
        <v>910.5</v>
      </c>
      <c r="N114" s="645" t="s">
        <v>64</v>
      </c>
      <c r="O114" s="645"/>
      <c r="P114" s="623"/>
      <c r="Q114" s="623"/>
      <c r="R114" s="623"/>
      <c r="S114" s="83" t="s">
        <v>30</v>
      </c>
      <c r="T114" s="58">
        <f>G114</f>
        <v>1821</v>
      </c>
      <c r="U114" s="47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599" t="s">
        <v>428</v>
      </c>
      <c r="B117" s="593"/>
      <c r="C117" s="593"/>
      <c r="D117" s="69"/>
      <c r="E117" s="39" t="s">
        <v>300</v>
      </c>
      <c r="F117" s="578"/>
      <c r="G117" s="578"/>
      <c r="H117" s="578"/>
      <c r="I117" s="578"/>
      <c r="N117" s="615" t="s">
        <v>429</v>
      </c>
      <c r="O117" s="616"/>
      <c r="P117" s="616"/>
      <c r="Q117" s="616"/>
      <c r="R117" s="616"/>
      <c r="S117" s="616"/>
      <c r="T117" s="616"/>
      <c r="U117" s="616"/>
    </row>
    <row r="118" spans="1:21" hidden="1" x14ac:dyDescent="0.25">
      <c r="B118" s="69"/>
      <c r="C118" s="579" t="s">
        <v>66</v>
      </c>
      <c r="D118" s="579"/>
      <c r="E118" s="579"/>
      <c r="F118" s="37"/>
      <c r="G118" s="37"/>
      <c r="H118" s="39" t="s">
        <v>108</v>
      </c>
      <c r="I118" s="37"/>
      <c r="N118" s="45"/>
      <c r="O118" s="45"/>
      <c r="P118" s="45"/>
      <c r="Q118" s="45"/>
      <c r="R118" s="45"/>
      <c r="S118" s="45"/>
      <c r="T118" s="45"/>
      <c r="U118" s="45"/>
    </row>
    <row r="119" spans="1:21" hidden="1" x14ac:dyDescent="0.25">
      <c r="B119" s="69"/>
      <c r="C119" s="88" t="s">
        <v>311</v>
      </c>
      <c r="D119" s="88" t="s">
        <v>297</v>
      </c>
      <c r="E119" s="137" t="s">
        <v>8</v>
      </c>
      <c r="F119" s="580" t="s">
        <v>109</v>
      </c>
      <c r="G119" s="578"/>
      <c r="H119" s="37" t="s">
        <v>29</v>
      </c>
      <c r="I119" s="37"/>
      <c r="N119" s="45"/>
      <c r="O119" s="45"/>
      <c r="P119" s="45"/>
      <c r="Q119" s="45"/>
      <c r="R119" s="45"/>
      <c r="S119" s="45"/>
      <c r="T119" s="45"/>
      <c r="U119" s="45"/>
    </row>
    <row r="120" spans="1:21" hidden="1" x14ac:dyDescent="0.25">
      <c r="A120" s="579" t="s">
        <v>69</v>
      </c>
      <c r="B120" s="579"/>
      <c r="C120" s="90" t="s">
        <v>2</v>
      </c>
      <c r="D120" s="90" t="s">
        <v>2</v>
      </c>
      <c r="E120" s="59" t="s">
        <v>2</v>
      </c>
      <c r="F120" s="579" t="s">
        <v>28</v>
      </c>
      <c r="G120" s="579"/>
      <c r="H120" s="59" t="s">
        <v>28</v>
      </c>
      <c r="I120" s="59" t="s">
        <v>8</v>
      </c>
      <c r="N120" s="624" t="s">
        <v>53</v>
      </c>
      <c r="O120" s="624"/>
      <c r="P120" s="625" t="s">
        <v>66</v>
      </c>
      <c r="Q120" s="625"/>
      <c r="R120" s="624" t="s">
        <v>54</v>
      </c>
      <c r="S120" s="624"/>
      <c r="T120" s="60" t="s">
        <v>55</v>
      </c>
      <c r="U120" s="60" t="s">
        <v>8</v>
      </c>
    </row>
    <row r="121" spans="1:21" hidden="1" x14ac:dyDescent="0.25">
      <c r="A121" s="576" t="s">
        <v>56</v>
      </c>
      <c r="B121" s="576"/>
      <c r="C121" s="141">
        <v>0</v>
      </c>
      <c r="D121" s="141">
        <v>0</v>
      </c>
      <c r="E121" s="187">
        <f>IF(D30=0,C121*2,C121+D121)</f>
        <v>0</v>
      </c>
      <c r="F121" s="577">
        <v>0</v>
      </c>
      <c r="G121" s="577"/>
      <c r="H121" s="223">
        <f>IF(C121=0,0,125)</f>
        <v>0</v>
      </c>
      <c r="I121" s="101">
        <f>ROUND((H121+F121)*E121,2)</f>
        <v>0</v>
      </c>
      <c r="N121" s="616" t="s">
        <v>56</v>
      </c>
      <c r="O121" s="616"/>
      <c r="P121" s="623">
        <f>IF(H$133=1,C121,0)</f>
        <v>0</v>
      </c>
      <c r="Q121" s="623"/>
      <c r="R121" s="643">
        <f>F121</f>
        <v>0</v>
      </c>
      <c r="S121" s="643"/>
      <c r="T121" s="62">
        <f>H121</f>
        <v>0</v>
      </c>
      <c r="U121" s="96">
        <f>ROUND((T121+R121)*P121,0)</f>
        <v>0</v>
      </c>
    </row>
    <row r="122" spans="1:21" hidden="1" x14ac:dyDescent="0.25">
      <c r="A122" s="596" t="s">
        <v>57</v>
      </c>
      <c r="B122" s="596"/>
      <c r="C122" s="143">
        <v>0</v>
      </c>
      <c r="D122" s="143">
        <v>0</v>
      </c>
      <c r="E122" s="116">
        <f>IF(D31=0,C122*2,C122+D122)</f>
        <v>0</v>
      </c>
      <c r="F122" s="613">
        <f>ROUND(F121/2,2)</f>
        <v>0</v>
      </c>
      <c r="G122" s="613"/>
      <c r="H122" s="223">
        <f>IF(C122=0,0,62.5)</f>
        <v>0</v>
      </c>
      <c r="I122" s="101">
        <f>ROUND((H122+F122)*E122,2)</f>
        <v>0</v>
      </c>
      <c r="N122" s="616" t="s">
        <v>57</v>
      </c>
      <c r="O122" s="616"/>
      <c r="P122" s="623">
        <f>IF(H$133=1,C122,0)</f>
        <v>0</v>
      </c>
      <c r="Q122" s="623"/>
      <c r="R122" s="644">
        <f>ROUND(R121/2,2)</f>
        <v>0</v>
      </c>
      <c r="S122" s="644"/>
      <c r="T122" s="62">
        <f>H122</f>
        <v>0</v>
      </c>
      <c r="U122" s="96">
        <f>ROUND((T122+R122)*P122,0)</f>
        <v>0</v>
      </c>
    </row>
    <row r="123" spans="1:21" ht="16.5" hidden="1" thickBot="1" x14ac:dyDescent="0.3">
      <c r="A123" s="596" t="s">
        <v>58</v>
      </c>
      <c r="B123" s="596"/>
      <c r="C123" s="143">
        <v>0</v>
      </c>
      <c r="D123" s="143">
        <v>0</v>
      </c>
      <c r="E123" s="116">
        <f>IF(D32=0,C123*2,C123+D123)</f>
        <v>0</v>
      </c>
      <c r="F123" s="614"/>
      <c r="G123" s="614"/>
      <c r="H123" s="224">
        <f>IF(H121&gt;0,436,0)</f>
        <v>0</v>
      </c>
      <c r="I123" s="101">
        <f>ROUND(H123*E123,2)</f>
        <v>0</v>
      </c>
      <c r="N123" s="631" t="s">
        <v>58</v>
      </c>
      <c r="O123" s="631"/>
      <c r="P123" s="623">
        <f>IF(H$133=1,C123,0)</f>
        <v>0</v>
      </c>
      <c r="Q123" s="623"/>
      <c r="R123" s="624"/>
      <c r="S123" s="624"/>
      <c r="T123" s="64">
        <f>H123</f>
        <v>0</v>
      </c>
      <c r="U123" s="103">
        <f>ROUND(T123*P123,0)</f>
        <v>0</v>
      </c>
    </row>
    <row r="124" spans="1:21" ht="16.5" hidden="1" thickBot="1" x14ac:dyDescent="0.3">
      <c r="A124" s="578" t="s">
        <v>8</v>
      </c>
      <c r="B124" s="578"/>
      <c r="C124" s="65"/>
      <c r="D124" s="65"/>
      <c r="E124" s="65"/>
      <c r="F124" s="65"/>
      <c r="G124" s="65"/>
      <c r="H124" s="65"/>
      <c r="I124" s="97">
        <f>SUM(I121:I123)</f>
        <v>0</v>
      </c>
      <c r="N124" s="642" t="s">
        <v>8</v>
      </c>
      <c r="O124" s="64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599" t="s">
        <v>430</v>
      </c>
      <c r="B126" s="593"/>
      <c r="C126" s="593"/>
      <c r="D126" s="69"/>
      <c r="E126" s="68" t="s">
        <v>34</v>
      </c>
      <c r="F126" s="612"/>
      <c r="G126" s="612"/>
      <c r="H126" s="612"/>
      <c r="I126" s="154">
        <v>0</v>
      </c>
      <c r="N126" s="615" t="s">
        <v>430</v>
      </c>
      <c r="O126" s="616"/>
      <c r="P126" s="616"/>
      <c r="Q126" s="305"/>
      <c r="R126" s="305"/>
      <c r="S126" s="305"/>
      <c r="T126" s="305"/>
      <c r="U126" s="472">
        <f>IF($H$133=1,I126,0)</f>
        <v>0</v>
      </c>
    </row>
    <row r="127" spans="1:21" x14ac:dyDescent="0.25">
      <c r="B127" s="69"/>
      <c r="C127" s="69"/>
      <c r="D127" s="69"/>
      <c r="E127" s="68"/>
      <c r="F127" s="68"/>
      <c r="G127" s="68"/>
      <c r="H127" s="68"/>
      <c r="I127" s="116"/>
      <c r="N127" s="452"/>
      <c r="O127" s="451"/>
      <c r="P127" s="451"/>
      <c r="Q127" s="305"/>
      <c r="R127" s="305"/>
      <c r="S127" s="305"/>
      <c r="T127" s="305"/>
      <c r="U127" s="476"/>
    </row>
    <row r="128" spans="1:21" ht="16.5" thickBot="1" x14ac:dyDescent="0.3">
      <c r="A128" s="605" t="s">
        <v>8</v>
      </c>
      <c r="B128" s="605"/>
      <c r="C128" s="605"/>
      <c r="D128" s="605"/>
      <c r="E128" s="605"/>
      <c r="F128" s="605"/>
      <c r="G128" s="605"/>
      <c r="H128" s="605"/>
      <c r="I128" s="94">
        <f>SUM(I46,I66,I85,I88,I90,I92,I94,I96,I107,I113,I114,I124,I126)</f>
        <v>4549752.2600000007</v>
      </c>
      <c r="N128" s="452"/>
      <c r="O128" s="451"/>
      <c r="P128" s="451"/>
      <c r="Q128" s="305"/>
      <c r="R128" s="305"/>
      <c r="S128" s="305"/>
      <c r="T128" s="305"/>
      <c r="U128" s="479">
        <f>SUM(U30,U85,U88,U90,U92,U94,U96,U107,U113,U114,U124,U126)</f>
        <v>1100328.9800000002</v>
      </c>
    </row>
    <row r="129" spans="1:21" ht="16.5" thickTop="1" x14ac:dyDescent="0.25">
      <c r="A129" s="26"/>
      <c r="B129" s="26"/>
      <c r="C129" s="26"/>
      <c r="D129" s="26"/>
      <c r="E129" s="26"/>
      <c r="F129" s="26"/>
      <c r="G129" s="26"/>
      <c r="H129" s="26"/>
      <c r="I129" s="101"/>
      <c r="N129" s="452"/>
      <c r="O129" s="451"/>
      <c r="P129" s="451"/>
      <c r="Q129" s="305"/>
      <c r="R129" s="305"/>
      <c r="S129" s="305"/>
      <c r="T129" s="305"/>
      <c r="U129" s="103"/>
    </row>
    <row r="130" spans="1:21" ht="16.5" thickBot="1" x14ac:dyDescent="0.3">
      <c r="A130" s="81" t="s">
        <v>432</v>
      </c>
      <c r="B130" s="26"/>
      <c r="C130" s="26"/>
      <c r="D130" s="26"/>
      <c r="E130" s="26"/>
      <c r="F130" s="26"/>
      <c r="G130" s="26"/>
      <c r="H130" s="26"/>
      <c r="I130" s="101">
        <f>I128-I53</f>
        <v>4331250.74</v>
      </c>
      <c r="N130" s="615" t="s">
        <v>432</v>
      </c>
      <c r="O130" s="616"/>
      <c r="P130" s="616"/>
      <c r="Q130" s="616"/>
      <c r="R130" s="616"/>
      <c r="S130" s="616"/>
      <c r="T130" s="616"/>
      <c r="U130" s="132">
        <f>U128-U53</f>
        <v>1049385.7100000002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599" t="s">
        <v>500</v>
      </c>
      <c r="B132" s="593"/>
      <c r="C132" s="593"/>
      <c r="D132" s="593"/>
      <c r="E132" s="593"/>
      <c r="F132" s="593"/>
      <c r="G132" s="593"/>
      <c r="H132" s="81" t="s">
        <v>333</v>
      </c>
      <c r="I132" s="134"/>
      <c r="N132" s="615" t="s">
        <v>500</v>
      </c>
      <c r="O132" s="616"/>
      <c r="P132" s="616"/>
      <c r="Q132" s="616"/>
      <c r="R132" s="616"/>
      <c r="S132" s="616"/>
      <c r="T132" s="616"/>
      <c r="U132" s="138"/>
    </row>
    <row r="133" spans="1:21" x14ac:dyDescent="0.25">
      <c r="A133" s="593" t="s">
        <v>70</v>
      </c>
      <c r="B133" s="593"/>
      <c r="C133" s="593"/>
      <c r="D133" s="593"/>
      <c r="E133" s="593"/>
      <c r="F133" s="593"/>
      <c r="G133" s="593"/>
      <c r="H133" s="70">
        <f>IF(E30=0,"",IF((E15+E17+SUM(E19:E25))/E30&gt;0.75,1,""))</f>
        <v>1</v>
      </c>
      <c r="I133" s="116">
        <f>U130</f>
        <v>1049385.7100000002</v>
      </c>
      <c r="N133" s="616" t="s">
        <v>70</v>
      </c>
      <c r="O133" s="616"/>
      <c r="P133" s="616"/>
      <c r="Q133" s="616"/>
      <c r="R133" s="616"/>
      <c r="S133" s="616"/>
      <c r="T133" s="616"/>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1049385.7100000002</v>
      </c>
      <c r="I135" s="94">
        <f>ROUND(IF(E30=0,0,IF(E30&gt;250,-(((250/E30)*H135)*IF(G135="H",0.02,0.05)),IF(G135="H",-0.02*H135,-0.05*H135))),2)</f>
        <v>-52469.29</v>
      </c>
      <c r="N135" s="641"/>
      <c r="O135" s="641"/>
      <c r="P135" s="641"/>
      <c r="Q135" s="641"/>
      <c r="R135" s="641"/>
      <c r="S135" s="641"/>
      <c r="T135" s="641"/>
      <c r="U135" s="641"/>
    </row>
    <row r="136" spans="1:21" x14ac:dyDescent="0.25">
      <c r="B136" s="69"/>
      <c r="C136" s="69"/>
      <c r="D136" s="69"/>
      <c r="E136" s="69"/>
      <c r="F136" s="69"/>
      <c r="G136" s="69"/>
      <c r="H136" s="65"/>
      <c r="I136" s="101"/>
      <c r="N136" s="639" t="s">
        <v>7</v>
      </c>
      <c r="O136" s="639"/>
      <c r="P136" s="639"/>
      <c r="Q136" s="639"/>
      <c r="R136" s="639"/>
      <c r="S136" s="639"/>
      <c r="T136" s="639"/>
      <c r="U136" s="639"/>
    </row>
    <row r="137" spans="1:21" x14ac:dyDescent="0.25">
      <c r="A137" s="308" t="s">
        <v>74</v>
      </c>
      <c r="B137" s="309"/>
      <c r="C137" s="309"/>
      <c r="D137" s="309"/>
      <c r="E137" s="309"/>
      <c r="F137" s="309"/>
      <c r="G137" s="309"/>
      <c r="H137" s="310"/>
      <c r="I137" s="311">
        <f>I128+I135</f>
        <v>4497282.9700000007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-748199.29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247</v>
      </c>
      <c r="B141" s="69"/>
      <c r="C141" s="69"/>
      <c r="D141" s="69"/>
      <c r="E141" s="69"/>
      <c r="F141" s="69"/>
      <c r="G141" s="69"/>
      <c r="H141" s="65"/>
      <c r="I141" s="101">
        <f>I137+I139</f>
        <v>3749083.6800000006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248</v>
      </c>
      <c r="B143" s="69"/>
      <c r="C143" s="69"/>
      <c r="D143" s="69"/>
      <c r="E143" s="69"/>
      <c r="F143" s="69"/>
      <c r="G143" s="69"/>
      <c r="H143" s="65"/>
      <c r="I143" s="272">
        <f>'1461'!I143</f>
        <v>10</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374908.37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44" t="str">
        <f>'1461'!A152</f>
        <v>(a) Additional FTE includes FTE earned through Advanced Placement, International Baccalaureate, Advanced International Certificate of Education, Industry Certified Career</v>
      </c>
      <c r="B152" s="345"/>
      <c r="C152" s="345"/>
      <c r="D152" s="345"/>
      <c r="E152" s="345"/>
      <c r="F152" s="345"/>
      <c r="G152" s="345"/>
      <c r="H152" s="345"/>
      <c r="I152" s="345"/>
      <c r="J152" s="77"/>
      <c r="K152" s="76"/>
      <c r="L152" s="76"/>
      <c r="M152" s="76"/>
      <c r="N152" s="73"/>
      <c r="O152" s="73"/>
      <c r="P152" s="73"/>
      <c r="Q152" s="73"/>
      <c r="R152" s="73"/>
      <c r="S152" s="73"/>
      <c r="T152" s="73"/>
      <c r="U152" s="73"/>
    </row>
    <row r="153" spans="1:21" ht="15.75" customHeight="1" x14ac:dyDescent="0.25">
      <c r="A153" s="350" t="s">
        <v>372</v>
      </c>
      <c r="B153" s="345"/>
      <c r="C153" s="345"/>
      <c r="D153" s="345"/>
      <c r="E153" s="345"/>
      <c r="F153" s="345"/>
      <c r="G153" s="345"/>
      <c r="H153" s="345"/>
      <c r="I153" s="345"/>
      <c r="J153" s="77"/>
      <c r="K153" s="76"/>
      <c r="L153" s="76"/>
      <c r="M153" s="76"/>
      <c r="N153" s="73"/>
      <c r="O153" s="73"/>
      <c r="P153" s="73"/>
      <c r="Q153" s="73"/>
      <c r="R153" s="73"/>
      <c r="S153" s="73"/>
      <c r="T153" s="73"/>
      <c r="U153" s="73"/>
    </row>
    <row r="154" spans="1:21" x14ac:dyDescent="0.25">
      <c r="A154" s="344" t="s">
        <v>373</v>
      </c>
      <c r="B154" s="346"/>
      <c r="C154" s="346"/>
      <c r="D154" s="346"/>
      <c r="E154" s="346"/>
      <c r="F154" s="346"/>
      <c r="G154" s="346"/>
      <c r="H154" s="346"/>
      <c r="I154" s="346"/>
      <c r="J154" s="76"/>
      <c r="K154" s="76"/>
      <c r="L154" s="76"/>
      <c r="M154" s="76"/>
      <c r="N154" s="73"/>
      <c r="O154" s="73"/>
      <c r="P154" s="73"/>
      <c r="Q154" s="73"/>
      <c r="R154" s="73"/>
      <c r="S154" s="73"/>
      <c r="T154" s="73"/>
      <c r="U154" s="73"/>
    </row>
    <row r="155" spans="1:21" s="76" customFormat="1" x14ac:dyDescent="0.2">
      <c r="A155" s="344" t="s">
        <v>374</v>
      </c>
      <c r="B155" s="346"/>
      <c r="C155" s="346"/>
      <c r="D155" s="346"/>
      <c r="E155" s="346"/>
      <c r="F155" s="346"/>
      <c r="G155" s="346"/>
      <c r="H155" s="346"/>
      <c r="I155" s="346"/>
      <c r="N155" s="640"/>
      <c r="O155" s="640"/>
      <c r="P155" s="640"/>
      <c r="Q155" s="640"/>
      <c r="R155" s="640"/>
      <c r="S155" s="640"/>
      <c r="T155" s="640"/>
      <c r="U155" s="640"/>
    </row>
    <row r="156" spans="1:21" s="76" customFormat="1" x14ac:dyDescent="0.2">
      <c r="A156" s="344" t="s">
        <v>375</v>
      </c>
      <c r="B156" s="346"/>
      <c r="C156" s="346"/>
      <c r="D156" s="346"/>
      <c r="E156" s="346"/>
      <c r="F156" s="346"/>
      <c r="G156" s="346"/>
      <c r="H156" s="346"/>
      <c r="I156" s="346"/>
      <c r="N156" s="73"/>
      <c r="O156" s="73"/>
      <c r="P156" s="73"/>
      <c r="Q156" s="73"/>
      <c r="R156" s="73"/>
      <c r="S156" s="73"/>
      <c r="T156" s="73"/>
      <c r="U156" s="73"/>
    </row>
    <row r="157" spans="1:21" s="76" customFormat="1" x14ac:dyDescent="0.2">
      <c r="A157" s="344" t="s">
        <v>376</v>
      </c>
      <c r="B157" s="346"/>
      <c r="C157" s="346"/>
      <c r="D157" s="346"/>
      <c r="E157" s="346"/>
      <c r="F157" s="346"/>
      <c r="G157" s="346"/>
      <c r="H157" s="346"/>
      <c r="I157" s="346"/>
      <c r="N157" s="78"/>
      <c r="O157" s="79"/>
      <c r="P157" s="79"/>
      <c r="Q157" s="79"/>
      <c r="R157" s="79"/>
      <c r="S157" s="79"/>
      <c r="T157" s="79"/>
      <c r="U157" s="79"/>
    </row>
    <row r="158" spans="1:21" s="76" customFormat="1" x14ac:dyDescent="0.2">
      <c r="A158" s="344" t="s">
        <v>377</v>
      </c>
      <c r="B158" s="346"/>
      <c r="C158" s="346"/>
      <c r="D158" s="346"/>
      <c r="E158" s="346"/>
      <c r="F158" s="346"/>
      <c r="G158" s="346"/>
      <c r="H158" s="346"/>
      <c r="I158" s="346"/>
      <c r="N158" s="78"/>
    </row>
    <row r="159" spans="1:21" s="76" customFormat="1" x14ac:dyDescent="0.2">
      <c r="A159" s="344" t="s">
        <v>379</v>
      </c>
      <c r="B159" s="346"/>
      <c r="C159" s="346"/>
      <c r="D159" s="346"/>
      <c r="E159" s="346"/>
      <c r="F159" s="346"/>
      <c r="G159" s="346"/>
      <c r="H159" s="346"/>
      <c r="I159" s="346"/>
      <c r="N159" s="78"/>
    </row>
    <row r="160" spans="1:21" s="76" customFormat="1" x14ac:dyDescent="0.2">
      <c r="A160" s="350" t="s">
        <v>378</v>
      </c>
      <c r="B160" s="346"/>
      <c r="C160" s="346"/>
      <c r="D160" s="346"/>
      <c r="E160" s="346"/>
      <c r="F160" s="346"/>
      <c r="G160" s="346"/>
      <c r="H160" s="346"/>
      <c r="I160" s="346"/>
      <c r="N160" s="78"/>
    </row>
    <row r="161" spans="1:14" s="76" customFormat="1" x14ac:dyDescent="0.2">
      <c r="A161" s="344" t="s">
        <v>380</v>
      </c>
      <c r="B161" s="346"/>
      <c r="C161" s="346"/>
      <c r="D161" s="346"/>
      <c r="E161" s="346"/>
      <c r="F161" s="346"/>
      <c r="G161" s="346"/>
      <c r="H161" s="346"/>
      <c r="I161" s="346"/>
      <c r="N161" s="78"/>
    </row>
    <row r="162" spans="1:14" s="76" customFormat="1" x14ac:dyDescent="0.2">
      <c r="A162" s="350" t="str">
        <f>'1461'!A162</f>
        <v>"All Adjusted ESE Riders" should include only ESE Riders.</v>
      </c>
      <c r="B162" s="346"/>
      <c r="C162" s="346"/>
      <c r="D162" s="346"/>
      <c r="E162" s="346"/>
      <c r="F162" s="346"/>
      <c r="G162" s="346"/>
      <c r="H162" s="346"/>
      <c r="I162" s="346"/>
      <c r="N162" s="78"/>
    </row>
    <row r="163" spans="1:14" s="76" customFormat="1" x14ac:dyDescent="0.2">
      <c r="A163" s="344" t="s">
        <v>383</v>
      </c>
      <c r="B163" s="346"/>
      <c r="C163" s="346"/>
      <c r="D163" s="346"/>
      <c r="E163" s="346"/>
      <c r="F163" s="346"/>
      <c r="G163" s="346"/>
      <c r="H163" s="346"/>
      <c r="I163" s="346"/>
      <c r="N163" s="78"/>
    </row>
    <row r="164" spans="1:14" s="76" customFormat="1" ht="15.75" customHeight="1" x14ac:dyDescent="0.2">
      <c r="A164" s="344" t="str">
        <f>'1461'!A164</f>
        <v xml:space="preserve">(j) Funding based on student eligibility and meals provided, if participating in the National School Lunch Program. </v>
      </c>
      <c r="B164" s="346"/>
      <c r="C164" s="346"/>
      <c r="D164" s="346"/>
      <c r="E164" s="346"/>
      <c r="F164" s="346"/>
      <c r="G164" s="346"/>
      <c r="H164" s="346"/>
      <c r="I164" s="346"/>
      <c r="N164" s="78"/>
    </row>
    <row r="165" spans="1:14" s="76" customFormat="1" ht="15.75" customHeight="1" x14ac:dyDescent="0.2">
      <c r="A165" s="344" t="s">
        <v>385</v>
      </c>
      <c r="B165" s="346"/>
      <c r="C165" s="346"/>
      <c r="D165" s="346"/>
      <c r="E165" s="346"/>
      <c r="F165" s="346"/>
      <c r="G165" s="346"/>
      <c r="H165" s="346"/>
      <c r="I165" s="346"/>
      <c r="N165" s="78"/>
    </row>
    <row r="166" spans="1:14" s="76" customFormat="1" ht="15.75" customHeight="1" x14ac:dyDescent="0.2">
      <c r="A166" s="350" t="s">
        <v>384</v>
      </c>
      <c r="B166" s="346"/>
      <c r="C166" s="346"/>
      <c r="D166" s="346"/>
      <c r="E166" s="346"/>
      <c r="F166" s="346"/>
      <c r="G166" s="346"/>
      <c r="H166" s="346"/>
      <c r="I166" s="346"/>
      <c r="N166" s="78"/>
    </row>
    <row r="167" spans="1:14" s="76" customFormat="1" ht="15.75" customHeight="1" x14ac:dyDescent="0.2">
      <c r="A167" s="344" t="s">
        <v>386</v>
      </c>
      <c r="B167" s="346"/>
      <c r="C167" s="346"/>
      <c r="D167" s="346"/>
      <c r="E167" s="346"/>
      <c r="F167" s="346"/>
      <c r="G167" s="346"/>
      <c r="H167" s="346"/>
      <c r="I167" s="346"/>
      <c r="N167" s="78"/>
    </row>
    <row r="168" spans="1:14" s="76" customFormat="1" ht="15.75" customHeight="1" x14ac:dyDescent="0.2">
      <c r="A168" s="350" t="str">
        <f>'1461'!A168</f>
        <v xml:space="preserve">unweighted full-time equivalent students. </v>
      </c>
      <c r="B168" s="346"/>
      <c r="C168" s="346"/>
      <c r="D168" s="346"/>
      <c r="E168" s="346"/>
      <c r="F168" s="346"/>
      <c r="G168" s="346"/>
      <c r="H168" s="346"/>
      <c r="I168" s="346"/>
      <c r="N168" s="78"/>
    </row>
    <row r="169" spans="1:14" s="76" customFormat="1" ht="15.75" customHeight="1" x14ac:dyDescent="0.2">
      <c r="A169" s="344" t="s">
        <v>388</v>
      </c>
      <c r="B169" s="346"/>
      <c r="C169" s="346"/>
      <c r="D169" s="346"/>
      <c r="E169" s="346"/>
      <c r="F169" s="346"/>
      <c r="G169" s="346"/>
      <c r="H169" s="346"/>
      <c r="I169" s="346"/>
      <c r="N169" s="78"/>
    </row>
    <row r="170" spans="1:14" s="76" customFormat="1" ht="15.75" customHeight="1" x14ac:dyDescent="0.2">
      <c r="A170" s="350" t="s">
        <v>387</v>
      </c>
      <c r="B170" s="346"/>
      <c r="C170" s="346"/>
      <c r="D170" s="346"/>
      <c r="E170" s="346"/>
      <c r="F170" s="346"/>
      <c r="G170" s="346"/>
      <c r="H170" s="346"/>
      <c r="I170" s="346"/>
      <c r="N170" s="78"/>
    </row>
    <row r="171" spans="1:14" s="76" customFormat="1" ht="15.75" customHeight="1" x14ac:dyDescent="0.2">
      <c r="A171" s="344"/>
      <c r="B171" s="346"/>
      <c r="C171" s="346"/>
      <c r="D171" s="346"/>
      <c r="E171" s="346"/>
      <c r="F171" s="346"/>
      <c r="G171" s="346"/>
      <c r="H171" s="346"/>
      <c r="I171" s="346"/>
      <c r="N171" s="78"/>
    </row>
    <row r="172" spans="1:14" s="76" customFormat="1" ht="15.75" customHeight="1" x14ac:dyDescent="0.25">
      <c r="A172" s="357" t="str">
        <f>'1461'!A172</f>
        <v>Administrative fees:</v>
      </c>
      <c r="B172" s="346"/>
      <c r="C172" s="346"/>
      <c r="D172" s="346"/>
      <c r="E172" s="346"/>
      <c r="F172" s="346"/>
      <c r="G172" s="346"/>
      <c r="H172" s="346"/>
      <c r="I172" s="346"/>
      <c r="J172" s="3"/>
      <c r="K172" s="3"/>
      <c r="L172" s="3"/>
      <c r="M172" s="3"/>
      <c r="N172" s="78"/>
    </row>
    <row r="173" spans="1:14" s="76" customFormat="1" ht="15.75" customHeight="1" x14ac:dyDescent="0.25">
      <c r="A173" s="361" t="str">
        <f>'1461'!A173</f>
        <v xml:space="preserve">Administrative fees charged by the school district pursuant to s. 1002.33(20)(a), F.S., shall be calculated based upon 5% of available funds from the FEFP and categorical </v>
      </c>
      <c r="B173" s="349"/>
      <c r="C173" s="349"/>
      <c r="D173" s="349"/>
      <c r="E173" s="349"/>
      <c r="F173" s="349"/>
      <c r="G173" s="349"/>
      <c r="H173" s="349"/>
      <c r="I173" s="349"/>
      <c r="J173" s="3"/>
      <c r="K173" s="3"/>
      <c r="L173" s="3"/>
      <c r="M173" s="3"/>
      <c r="N173" s="78"/>
    </row>
    <row r="174" spans="1:14" s="76" customFormat="1" ht="15.75" customHeight="1" x14ac:dyDescent="0.25">
      <c r="A174" s="362" t="str">
        <f>'1461'!A174</f>
        <v>funding for which charter students may be eligible.  To calculate the administrative fee to be withheld for schools with more than 250 students, divide the school</v>
      </c>
      <c r="B174" s="356"/>
      <c r="C174" s="356"/>
      <c r="D174" s="356"/>
      <c r="E174" s="356"/>
      <c r="F174" s="356"/>
      <c r="G174" s="356"/>
      <c r="H174" s="356"/>
      <c r="I174" s="356"/>
      <c r="J174" s="3"/>
      <c r="K174" s="3"/>
      <c r="L174" s="3"/>
      <c r="M174" s="3"/>
      <c r="N174" s="78"/>
    </row>
    <row r="175" spans="1:14" s="76" customFormat="1" ht="15.75" customHeight="1" x14ac:dyDescent="0.25">
      <c r="A175" s="362" t="s">
        <v>389</v>
      </c>
      <c r="B175" s="356"/>
      <c r="C175" s="356"/>
      <c r="D175" s="356"/>
      <c r="E175" s="356"/>
      <c r="F175" s="356"/>
      <c r="G175" s="356"/>
      <c r="H175" s="356"/>
      <c r="I175" s="356"/>
      <c r="J175" s="3"/>
      <c r="K175" s="3"/>
      <c r="L175" s="3"/>
      <c r="M175" s="3"/>
      <c r="N175" s="78"/>
    </row>
    <row r="176" spans="1:14" s="76" customFormat="1" ht="15.75" customHeight="1" x14ac:dyDescent="0.2">
      <c r="A176" s="362" t="s">
        <v>390</v>
      </c>
      <c r="B176" s="356"/>
      <c r="C176" s="356"/>
      <c r="D176" s="356"/>
      <c r="E176" s="356"/>
      <c r="F176" s="356"/>
      <c r="G176" s="356"/>
      <c r="H176" s="356"/>
      <c r="I176" s="356"/>
      <c r="N176" s="78"/>
    </row>
    <row r="177" spans="1:21" s="76" customFormat="1" ht="15.75" customHeight="1" x14ac:dyDescent="0.2">
      <c r="A177" s="361"/>
      <c r="B177" s="356"/>
      <c r="C177" s="356"/>
      <c r="D177" s="356"/>
      <c r="E177" s="356"/>
      <c r="F177" s="356"/>
      <c r="G177" s="356"/>
      <c r="H177" s="356"/>
      <c r="I177" s="356"/>
      <c r="N177" s="78"/>
    </row>
    <row r="178" spans="1:21" ht="15.75" customHeight="1" x14ac:dyDescent="0.25">
      <c r="A178" s="361" t="str">
        <f>'1461'!A178</f>
        <v xml:space="preserve">For high performing charter schools, administrative fees charged by the school district shall be calculated based upon 2% of available funds from the FEFP and categorical </v>
      </c>
      <c r="B178" s="349"/>
      <c r="C178" s="349"/>
      <c r="D178" s="349"/>
      <c r="E178" s="349"/>
      <c r="F178" s="349"/>
      <c r="G178" s="349"/>
      <c r="H178" s="349"/>
      <c r="I178" s="349"/>
      <c r="J178" s="76"/>
      <c r="K178" s="76"/>
      <c r="L178" s="76"/>
      <c r="M178" s="76"/>
      <c r="N178" s="78"/>
      <c r="O178" s="76"/>
      <c r="P178" s="76"/>
      <c r="Q178" s="76"/>
      <c r="R178" s="76"/>
      <c r="S178" s="76"/>
      <c r="T178" s="76"/>
      <c r="U178" s="76"/>
    </row>
    <row r="179" spans="1:21" ht="15.75" customHeight="1" x14ac:dyDescent="0.25">
      <c r="A179" s="362" t="str">
        <f>'1461'!A179</f>
        <v>funding for which charter students may be eligible.  To calculate the administrative fee to be withheld for schools with more than 250 students, divide the school</v>
      </c>
      <c r="B179" s="349"/>
      <c r="C179" s="349"/>
      <c r="D179" s="349"/>
      <c r="E179" s="349"/>
      <c r="F179" s="349"/>
      <c r="G179" s="349"/>
      <c r="H179" s="349"/>
      <c r="I179" s="349"/>
      <c r="J179" s="76"/>
      <c r="K179" s="76"/>
      <c r="L179" s="76"/>
      <c r="M179" s="76"/>
      <c r="N179" s="74"/>
    </row>
    <row r="180" spans="1:21" s="76" customFormat="1" ht="15.75" customHeight="1" x14ac:dyDescent="0.25">
      <c r="A180" s="362" t="str">
        <f>'1461'!A180</f>
        <v xml:space="preserve">population into 250. Multiply that fraction times the funds available, then times 2%.  </v>
      </c>
      <c r="B180" s="349"/>
      <c r="C180" s="349"/>
      <c r="D180" s="349"/>
      <c r="E180" s="349"/>
      <c r="F180" s="349"/>
      <c r="G180" s="349"/>
      <c r="H180" s="349"/>
      <c r="I180" s="349"/>
      <c r="N180" s="74"/>
      <c r="O180" s="3"/>
      <c r="P180" s="3"/>
      <c r="Q180" s="3"/>
      <c r="R180" s="3"/>
      <c r="S180" s="3"/>
      <c r="T180" s="3"/>
      <c r="U180" s="3"/>
    </row>
    <row r="181" spans="1:21" x14ac:dyDescent="0.25">
      <c r="A181" s="344"/>
      <c r="B181" s="349"/>
      <c r="C181" s="349"/>
      <c r="D181" s="349"/>
      <c r="E181" s="349"/>
      <c r="F181" s="349"/>
      <c r="G181" s="349"/>
      <c r="H181" s="349"/>
      <c r="I181" s="349"/>
      <c r="N181" s="78"/>
      <c r="O181" s="76"/>
      <c r="P181" s="76"/>
      <c r="Q181" s="76"/>
      <c r="R181" s="76"/>
      <c r="S181" s="76"/>
      <c r="T181" s="76"/>
      <c r="U181" s="76"/>
    </row>
    <row r="182" spans="1:21" x14ac:dyDescent="0.25">
      <c r="A182" s="357" t="str">
        <f>'1461'!A182</f>
        <v>Other:</v>
      </c>
      <c r="B182" s="355"/>
      <c r="C182" s="355"/>
      <c r="D182" s="355"/>
      <c r="E182" s="355"/>
      <c r="F182" s="355"/>
      <c r="G182" s="355"/>
      <c r="H182" s="355"/>
      <c r="I182" s="355"/>
      <c r="N182" s="78"/>
      <c r="O182" s="76"/>
      <c r="P182" s="76"/>
      <c r="Q182" s="76"/>
      <c r="R182" s="76"/>
      <c r="S182" s="76"/>
      <c r="T182" s="76"/>
      <c r="U182" s="76"/>
    </row>
    <row r="183" spans="1:21" x14ac:dyDescent="0.25">
      <c r="A183" s="361" t="str">
        <f>'1461'!A183</f>
        <v>FEFP and categorical funding are recalculated during the year to reflect the revised number of full-time equivalent students reported during the survey periods designated</v>
      </c>
      <c r="B183" s="349"/>
      <c r="C183" s="349"/>
      <c r="D183" s="349"/>
      <c r="E183" s="349"/>
      <c r="F183" s="349"/>
      <c r="G183" s="349"/>
      <c r="H183" s="349"/>
      <c r="I183" s="349"/>
      <c r="N183" s="78"/>
      <c r="O183" s="76"/>
      <c r="P183" s="76"/>
      <c r="Q183" s="76"/>
      <c r="R183" s="76"/>
      <c r="S183" s="76"/>
      <c r="T183" s="76"/>
      <c r="U183" s="76"/>
    </row>
    <row r="184" spans="1:21" x14ac:dyDescent="0.25">
      <c r="A184" s="362" t="str">
        <f>'1461'!A184</f>
        <v>by the Commissioner of Education.</v>
      </c>
      <c r="B184" s="356"/>
      <c r="C184" s="356"/>
      <c r="D184" s="356"/>
      <c r="E184" s="356"/>
      <c r="F184" s="356"/>
      <c r="G184" s="356"/>
      <c r="H184" s="356"/>
      <c r="I184" s="356"/>
      <c r="N184" s="74"/>
    </row>
    <row r="185" spans="1:21" x14ac:dyDescent="0.25">
      <c r="A185" s="361" t="str">
        <f>'1461'!A185</f>
        <v>Revenues flow to districts from state sources and from county tax collectors on various distribution schedules.</v>
      </c>
      <c r="B185" s="349"/>
      <c r="C185" s="349"/>
      <c r="D185" s="349"/>
      <c r="E185" s="349"/>
      <c r="F185" s="349"/>
      <c r="G185" s="349"/>
      <c r="H185" s="349"/>
      <c r="I185" s="349"/>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C104:D104"/>
    <mergeCell ref="P104:Q104"/>
    <mergeCell ref="C105:D105"/>
    <mergeCell ref="P105:Q105"/>
    <mergeCell ref="C106:D106"/>
    <mergeCell ref="P106:Q106"/>
    <mergeCell ref="C107:D107"/>
    <mergeCell ref="P107:T107"/>
    <mergeCell ref="A108:I108"/>
    <mergeCell ref="N108:U108"/>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A78:B78"/>
    <mergeCell ref="D78:G78"/>
    <mergeCell ref="N78:O78"/>
    <mergeCell ref="Q78:S78"/>
    <mergeCell ref="T78:U78"/>
    <mergeCell ref="N79:S79"/>
    <mergeCell ref="T79:U79"/>
    <mergeCell ref="A57:B65"/>
    <mergeCell ref="F66:H66"/>
    <mergeCell ref="P65:Q65"/>
    <mergeCell ref="P66:Q66"/>
    <mergeCell ref="R66:T66"/>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vt:i4>
      </vt:variant>
    </vt:vector>
  </HeadingPairs>
  <TitlesOfParts>
    <vt:vector size="58" baseType="lpstr">
      <vt:lpstr>Net Payment</vt:lpstr>
      <vt:lpstr>Charter Schools</vt:lpstr>
      <vt:lpstr>Consolidated</vt:lpstr>
      <vt:lpstr>Cumulative Payments</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2024-08-07T18:20:57Z</cp:lastPrinted>
  <dcterms:created xsi:type="dcterms:W3CDTF">1998-02-12T20:21:54Z</dcterms:created>
  <dcterms:modified xsi:type="dcterms:W3CDTF">2024-09-10T20:54:29Z</dcterms:modified>
</cp:coreProperties>
</file>